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E:\watersport\tr\2019\"/>
    </mc:Choice>
  </mc:AlternateContent>
  <xr:revisionPtr revIDLastSave="0" documentId="10_ncr:8100000_{85183530-5A55-484B-80AC-2435E89F0D07}" xr6:coauthVersionLast="33" xr6:coauthVersionMax="33" xr10:uidLastSave="{00000000-0000-0000-0000-000000000000}"/>
  <bookViews>
    <workbookView xWindow="0" yWindow="0" windowWidth="28800" windowHeight="12225" xr2:uid="{F18B4492-EDFE-4EA0-94FE-337D4636F9A8}"/>
  </bookViews>
  <sheets>
    <sheet name="input form" sheetId="1" r:id="rId1"/>
    <sheet name="data trtotal" sheetId="2" r:id="rId2"/>
  </sheets>
  <definedNames>
    <definedName name="_xlnm.Print_Area" localSheetId="0">'input form'!$A$1:$O$51</definedName>
    <definedName name="areaMast">'data trtotal'!$CM$1:$CM$65487</definedName>
    <definedName name="ars">'data trtotal'!$DF:$DF</definedName>
    <definedName name="circ_mast_1">'input form'!$B$18</definedName>
    <definedName name="circMast">'data trtotal'!$CL$1:$CL$65487</definedName>
    <definedName name="corcb">'data trtotal'!$AJ:$AJ</definedName>
    <definedName name="corcb_1">'input form'!$B$16</definedName>
    <definedName name="crew">'data trtotal'!$B$1:$B$65487</definedName>
    <definedName name="date_meas_1">'input form'!$B$5</definedName>
    <definedName name="DynPress">'data trtotal'!$DP$1</definedName>
    <definedName name="e">'data trtotal'!$Y$1:$Y$65487</definedName>
    <definedName name="e_sp">'data trtotal'!$W$1:$W$65487</definedName>
    <definedName name="garenodet_1">'input form'!$O$20</definedName>
    <definedName name="gbutton_1">'input form'!$B$9</definedName>
    <definedName name="gh_1">'input form'!$N$13</definedName>
    <definedName name="gp_1">'input form'!$N$14</definedName>
    <definedName name="gp_2">'input form'!$N$16</definedName>
    <definedName name="gp_3">'input form'!$N$18</definedName>
    <definedName name="gs_1">'data trtotal'!$BV$1:$BV$65487</definedName>
    <definedName name="gs_11">'input form'!$N$12</definedName>
    <definedName name="gs_2">'input form'!$N$15</definedName>
    <definedName name="gs_3">'input form'!$N$17</definedName>
    <definedName name="gs_4">'input form'!$N$19</definedName>
    <definedName name="heeling">'data trtotal'!$DO$1:$DO$65487</definedName>
    <definedName name="hull_button_1">'input form'!$B$11</definedName>
    <definedName name="jibred">'data trtotal'!$DR$1</definedName>
    <definedName name="lb">'data trtotal'!$Q$1:$Q$65508</definedName>
    <definedName name="lb_1">'input form'!$B$16</definedName>
    <definedName name="loa">'data trtotal'!$K$1:$K$65487</definedName>
    <definedName name="loa_1">'input form'!$B$14</definedName>
    <definedName name="lpg">'data trtotal'!$BW$1:$BW$65487</definedName>
    <definedName name="mainh1">'data trtotal'!$AN:$AN</definedName>
    <definedName name="marea">'data trtotal'!$BU$1:$BU$65487</definedName>
    <definedName name="mareNoDet">'data trtotal'!$DH$1:$DH$65487</definedName>
    <definedName name="marenodet_1">'input form'!$C$45</definedName>
    <definedName name="mastlength">'input form'!$B$22</definedName>
    <definedName name="mbutton_1">'input form'!$B$8</definedName>
    <definedName name="measurer_1">'input form'!$B$7</definedName>
    <definedName name="mfoot">'data trtotal'!$CZ$1:$CZ$65487</definedName>
    <definedName name="mh_1">'input form'!$B$28</definedName>
    <definedName name="mh_3">'input form'!$B$33</definedName>
    <definedName name="mh_4">'input form'!$B$35</definedName>
    <definedName name="mh_7">'input form'!$B$41</definedName>
    <definedName name="mp_1">'input form'!$B$29</definedName>
    <definedName name="mp_2">'input form'!$B$31</definedName>
    <definedName name="mp_5">'input form'!$B$37</definedName>
    <definedName name="mp_6">'input form'!$B$39</definedName>
    <definedName name="mp_8">'input form'!$B$43</definedName>
    <definedName name="ms_1">'input form'!$B$27</definedName>
    <definedName name="ms_2">'input form'!$B$30</definedName>
    <definedName name="ms_3">'input form'!$B$32</definedName>
    <definedName name="ms_4">'input form'!$B$34</definedName>
    <definedName name="ms_5">'input form'!$B$36</definedName>
    <definedName name="ms_6">'input form'!$B$38</definedName>
    <definedName name="ms_7">'input form'!$B$40</definedName>
    <definedName name="ms_8">'input form'!$B$42</definedName>
    <definedName name="msag">'data trtotal'!$T$1:$T$65487</definedName>
    <definedName name="msagnodet_1">'input form'!$O$20</definedName>
    <definedName name="msam">'data trtotal'!$R$1:$R$65487</definedName>
    <definedName name="msam_1">'input form'!$C$44</definedName>
    <definedName name="mssam">'data trtotal'!$DA$1:$DA$65487</definedName>
    <definedName name="nr_of_crew_1">'input form'!$B$4</definedName>
    <definedName name="nr_trap_1">'input form'!$B$19</definedName>
    <definedName name="one_off_1">'input form'!$B$13</definedName>
    <definedName name="PowerFactor">'data trtotal'!$DR$1:$DR$65487</definedName>
    <definedName name="ratedl_1">'input form'!$B$15</definedName>
    <definedName name="remarks">'input form'!$B$23</definedName>
    <definedName name="righting">'data trtotal'!$DP$1:$DP$65487</definedName>
    <definedName name="rl">'data trtotal'!$L$1:$L$65487</definedName>
    <definedName name="rsa">'data trtotal'!$AE$1:$AE$65487</definedName>
    <definedName name="rsag">'data trtotal'!$AD$1:$AD$65487</definedName>
    <definedName name="rsam">'data trtotal'!$AB$1:$AB$65487</definedName>
    <definedName name="rsas">'data trtotal'!$AH$1:$AH$65487</definedName>
    <definedName name="rsascr">'data trtotal'!$AI$1:$AI$65487</definedName>
    <definedName name="rwex">'data trtotal'!$AF$1:$AF$65487</definedName>
    <definedName name="rwin">'data trtotal'!$AG$1:$AG$65487</definedName>
    <definedName name="sail_number_1">'input form'!$B$12</definedName>
    <definedName name="sailnumber_1">'input form'!$B$12</definedName>
    <definedName name="sailor_1">'input form'!$B$6</definedName>
    <definedName name="sas">'data trtotal'!$DG$1:$DG$65487</definedName>
    <definedName name="sas_no_details">'data trtotal'!$DK$1:$DK$65487</definedName>
    <definedName name="SasNoDetail_1">'input form'!$O$45</definedName>
    <definedName name="SF_1">'input form'!$N$41</definedName>
    <definedName name="sl_1_1">'input form'!$N$39</definedName>
    <definedName name="sl_2_1">'input form'!$N$40</definedName>
    <definedName name="smg_1">'input form'!$N$42</definedName>
    <definedName name="smg_sf_no_details">'data trtotal'!$DF:$DF</definedName>
    <definedName name="spibutton_1">'input form'!$B$10</definedName>
    <definedName name="trapeze">'data trtotal'!$N$1:$N$65487</definedName>
    <definedName name="type_1">'input form'!$B$3</definedName>
    <definedName name="vlg">'data trtotal'!$V$1:$V$65487</definedName>
    <definedName name="VlgNoDetails">'data trtotal'!$DJ$1:$DJ$65487</definedName>
    <definedName name="vlm">'data trtotal'!$S$1:$S$65487</definedName>
    <definedName name="voorllm2">'data trtotal'!$BT$1:$BT$65487</definedName>
    <definedName name="voorvlm1">'data trtotal'!$AP$1:$AP$65487</definedName>
    <definedName name="Vt">'data trtotal'!$DM$1</definedName>
    <definedName name="width">'data trtotal'!$M:$M</definedName>
    <definedName name="width_1">'input form'!$B$17</definedName>
    <definedName name="windcoeff">'data trtotal'!$DI$1</definedName>
    <definedName name="ws_ex_spi_1">'input form'!$B$20</definedName>
    <definedName name="ws_incl_spi_1">'input form'!$B$21</definedName>
    <definedName name="wsex">'data trtotal'!$O:$O</definedName>
    <definedName name="wsin">'data trtotal'!$P$1:$P$65487</definedName>
  </definedNames>
  <calcPr calcId="162913"/>
</workbook>
</file>

<file path=xl/calcChain.xml><?xml version="1.0" encoding="utf-8"?>
<calcChain xmlns="http://schemas.openxmlformats.org/spreadsheetml/2006/main">
  <c r="A6" i="2" l="1"/>
  <c r="B6" i="2"/>
  <c r="J6" i="2"/>
  <c r="K6" i="2"/>
  <c r="L6" i="2"/>
  <c r="M6" i="2"/>
  <c r="N6" i="2"/>
  <c r="O6" i="2"/>
  <c r="P6" i="2"/>
  <c r="Q6" i="2"/>
  <c r="AJ6" i="2" s="1"/>
  <c r="U6" i="2"/>
  <c r="AM6" i="2"/>
  <c r="AN6" i="2"/>
  <c r="AP6" i="2"/>
  <c r="S6" i="2" s="1"/>
  <c r="AQ6" i="2"/>
  <c r="AS6" i="2"/>
  <c r="AU6" i="2" s="1"/>
  <c r="AT6" i="2"/>
  <c r="AV6" i="2"/>
  <c r="AW6" i="2"/>
  <c r="AX6" i="2"/>
  <c r="AY6" i="2"/>
  <c r="AZ6" i="2"/>
  <c r="BA6" i="2"/>
  <c r="BB6" i="2"/>
  <c r="BD6" i="2" s="1"/>
  <c r="BC6" i="2"/>
  <c r="BE6" i="2"/>
  <c r="BF6" i="2"/>
  <c r="BH6" i="2"/>
  <c r="BJ6" i="2" s="1"/>
  <c r="BI6" i="2"/>
  <c r="BK6" i="2"/>
  <c r="BM6" i="2" s="1"/>
  <c r="BL6" i="2"/>
  <c r="BP6" i="2"/>
  <c r="BS6" i="2"/>
  <c r="BV6" i="2"/>
  <c r="V6" i="2" s="1"/>
  <c r="BW6" i="2"/>
  <c r="BZ6" i="2"/>
  <c r="CB6" i="2"/>
  <c r="CD6" i="2" s="1"/>
  <c r="CC6" i="2"/>
  <c r="CE6" i="2"/>
  <c r="CF6" i="2"/>
  <c r="CJ6" i="2"/>
  <c r="CL6" i="2"/>
  <c r="CM6" i="2"/>
  <c r="CN6" i="2"/>
  <c r="CO6" i="2"/>
  <c r="CP6" i="2"/>
  <c r="CQ6" i="2"/>
  <c r="CR6" i="2"/>
  <c r="CS6" i="2"/>
  <c r="CT6" i="2"/>
  <c r="CU6" i="2"/>
  <c r="DB6" i="2"/>
  <c r="DC6" i="2"/>
  <c r="DD6" i="2"/>
  <c r="DE6" i="2"/>
  <c r="DF6" i="2"/>
  <c r="DH6" i="2"/>
  <c r="DI6" i="2"/>
  <c r="DK6" i="2"/>
  <c r="DM6" i="2"/>
  <c r="AO6" i="2" l="1"/>
  <c r="BG6" i="2"/>
  <c r="DG6" i="2"/>
  <c r="AH6" i="2"/>
  <c r="DA6" i="2"/>
  <c r="CG6" i="2"/>
  <c r="AR6" i="2"/>
  <c r="X6" i="2"/>
  <c r="BX6" i="2"/>
  <c r="Y6" i="2" l="1"/>
  <c r="AA6" i="2"/>
  <c r="BU6" i="2"/>
  <c r="BY6" i="2"/>
  <c r="CA6" i="2" l="1"/>
  <c r="R6" i="2"/>
  <c r="Z6" i="2" l="1"/>
  <c r="AI6" i="2"/>
  <c r="CK6" i="2"/>
  <c r="AB6" i="2" l="1"/>
  <c r="T6" i="2"/>
  <c r="AC6" i="2" l="1"/>
  <c r="AG6" i="2"/>
  <c r="DO6" i="2"/>
  <c r="AF6" i="2"/>
  <c r="DP6" i="2" l="1"/>
  <c r="AD6" i="2"/>
  <c r="DQ6" i="2" l="1"/>
  <c r="AE6" i="2"/>
  <c r="AK6" i="2"/>
  <c r="AL6" i="2" l="1"/>
  <c r="DR6" i="2"/>
  <c r="C6" i="2" l="1"/>
  <c r="D6" i="2"/>
  <c r="DP1" i="2" l="1"/>
  <c r="O13" i="1" l="1"/>
  <c r="O14" i="1"/>
  <c r="O16" i="1"/>
  <c r="O18" i="1"/>
  <c r="C28" i="1"/>
  <c r="C29" i="1"/>
  <c r="C31" i="1"/>
  <c r="C33" i="1"/>
  <c r="C35" i="1"/>
  <c r="C37" i="1"/>
  <c r="C39" i="1"/>
  <c r="C41" i="1"/>
  <c r="C43" i="1"/>
  <c r="O43" i="1"/>
  <c r="C44" i="1"/>
  <c r="O44" i="1"/>
  <c r="O19" i="1" l="1"/>
  <c r="N3" i="1" l="1"/>
  <c r="N4" i="1" l="1"/>
</calcChain>
</file>

<file path=xl/sharedStrings.xml><?xml version="1.0" encoding="utf-8"?>
<sst xmlns="http://schemas.openxmlformats.org/spreadsheetml/2006/main" count="229" uniqueCount="201">
  <si>
    <t>Texel Rating measurement page 1</t>
  </si>
  <si>
    <t> Determination of the rated length</t>
  </si>
  <si>
    <t>type</t>
  </si>
  <si>
    <t>Texel Rating, no spi</t>
  </si>
  <si>
    <t>number of crew</t>
  </si>
  <si>
    <t>Texel Rating, incl. spi</t>
  </si>
  <si>
    <t>date</t>
  </si>
  <si>
    <t>sailor</t>
  </si>
  <si>
    <t>TestSailor</t>
  </si>
  <si>
    <t>measurer</t>
  </si>
  <si>
    <t>TheMeasurer</t>
  </si>
  <si>
    <t>Determination of the sailarea jib</t>
  </si>
  <si>
    <t>Main button nr</t>
  </si>
  <si>
    <t>jib button nr</t>
  </si>
  <si>
    <t>measurements</t>
  </si>
  <si>
    <t>Spi button nr</t>
  </si>
  <si>
    <t>hull button</t>
  </si>
  <si>
    <t>sail number</t>
  </si>
  <si>
    <t>S1 =</t>
  </si>
  <si>
    <t>One-off (** if yes)</t>
  </si>
  <si>
    <t>H1 =</t>
  </si>
  <si>
    <t>LOA (maximum hull length)</t>
  </si>
  <si>
    <t>P1 =</t>
  </si>
  <si>
    <t>RL (Rated Length hull)</t>
  </si>
  <si>
    <t>S2 =</t>
  </si>
  <si>
    <t>LB (Length Board, if not “straight”)</t>
  </si>
  <si>
    <t>P2 =</t>
  </si>
  <si>
    <t>Beam over all</t>
  </si>
  <si>
    <t>S3 =</t>
  </si>
  <si>
    <t>circ. mast</t>
  </si>
  <si>
    <t>P3 =</t>
  </si>
  <si>
    <t>nr. trapezes</t>
  </si>
  <si>
    <t>total</t>
  </si>
  <si>
    <t>weight excl.spi OR</t>
  </si>
  <si>
    <t>OR rtotal without details</t>
  </si>
  <si>
    <t>weight incl.spi</t>
  </si>
  <si>
    <t>Determination of the sailarea main</t>
  </si>
  <si>
    <t>H3 =</t>
  </si>
  <si>
    <t>Determination of the sailarea spinnaker</t>
  </si>
  <si>
    <t>S4 =</t>
  </si>
  <si>
    <t>H4 =</t>
  </si>
  <si>
    <t>S5 =</t>
  </si>
  <si>
    <t>P5 =</t>
  </si>
  <si>
    <t>S6 =</t>
  </si>
  <si>
    <t>P6 =</t>
  </si>
  <si>
    <t>SL1 =</t>
  </si>
  <si>
    <t>S7 =</t>
  </si>
  <si>
    <t>SL2 =</t>
  </si>
  <si>
    <t>H7 =</t>
  </si>
  <si>
    <t>SF =</t>
  </si>
  <si>
    <t>S8 =</t>
  </si>
  <si>
    <t>SMG  =</t>
  </si>
  <si>
    <t>P8 =</t>
  </si>
  <si>
    <t>total calculated</t>
  </si>
  <si>
    <t>smg/sf</t>
  </si>
  <si>
    <t>OR total area without details</t>
  </si>
  <si>
    <t>OR total without details</t>
  </si>
  <si>
    <t>Notes:</t>
  </si>
  <si>
    <t>LB (length board): fill in either: Length of non straight board OR “no” if no boads OR leave blank for straight board</t>
  </si>
  <si>
    <t>Yellow cells are required for calculation</t>
  </si>
  <si>
    <t>Blue cells are optional: if no details ae available then the actual area can be used</t>
  </si>
  <si>
    <t>Test Nacra 20</t>
  </si>
  <si>
    <t>Texel Rating (TR) for trampoline catamarans</t>
  </si>
  <si>
    <t>(Curved)</t>
  </si>
  <si>
    <t>TR Light wind rating</t>
  </si>
  <si>
    <t>input and calculations area mainsail</t>
  </si>
  <si>
    <t>input and calc. area main (simpson)</t>
  </si>
  <si>
    <t>input and calc. area spi</t>
  </si>
  <si>
    <t>windcoeff.</t>
  </si>
  <si>
    <t>Vt in m/sec:</t>
  </si>
  <si>
    <t>dyn. wind press. Va in kg/m²:</t>
  </si>
  <si>
    <t>Jib reduction under spi:</t>
  </si>
  <si>
    <t>Board</t>
  </si>
  <si>
    <t>Texel Rating</t>
  </si>
  <si>
    <t>power</t>
  </si>
  <si>
    <t>Common</t>
  </si>
  <si>
    <t>Crew</t>
  </si>
  <si>
    <t>one-off</t>
  </si>
  <si>
    <t>LOA</t>
  </si>
  <si>
    <t>RL</t>
  </si>
  <si>
    <t>Trapeze</t>
  </si>
  <si>
    <t>WS</t>
  </si>
  <si>
    <t>LB</t>
  </si>
  <si>
    <t>MSAM</t>
  </si>
  <si>
    <t>VLM</t>
  </si>
  <si>
    <t>MSAG</t>
  </si>
  <si>
    <t>VLG</t>
  </si>
  <si>
    <t>E</t>
  </si>
  <si>
    <t>E calc</t>
  </si>
  <si>
    <t>SA/E^2</t>
  </si>
  <si>
    <t>corr.</t>
  </si>
  <si>
    <t>RSAM</t>
  </si>
  <si>
    <t>msag /</t>
  </si>
  <si>
    <t>RSAG</t>
  </si>
  <si>
    <t>RSA</t>
  </si>
  <si>
    <t>RW</t>
  </si>
  <si>
    <t>RSAS</t>
  </si>
  <si>
    <t>RSASCR</t>
  </si>
  <si>
    <t>CB</t>
  </si>
  <si>
    <t>ms1</t>
  </si>
  <si>
    <t>mh1</t>
  </si>
  <si>
    <t>mtr1</t>
  </si>
  <si>
    <t>mp1</t>
  </si>
  <si>
    <t>msegm 1</t>
  </si>
  <si>
    <t>ms2</t>
  </si>
  <si>
    <t>mp2</t>
  </si>
  <si>
    <t>msegm 2</t>
  </si>
  <si>
    <t>ms3</t>
  </si>
  <si>
    <t>mh3</t>
  </si>
  <si>
    <t>mtr 3</t>
  </si>
  <si>
    <t>ms4</t>
  </si>
  <si>
    <t>mh4</t>
  </si>
  <si>
    <t>mtr 4</t>
  </si>
  <si>
    <t>ms5</t>
  </si>
  <si>
    <t>mp5</t>
  </si>
  <si>
    <t>msegm 5</t>
  </si>
  <si>
    <t>ms6</t>
  </si>
  <si>
    <t>mp6</t>
  </si>
  <si>
    <t>msegm 6</t>
  </si>
  <si>
    <t>ms7</t>
  </si>
  <si>
    <t>mh7</t>
  </si>
  <si>
    <t>mtr 7</t>
  </si>
  <si>
    <t>ms8</t>
  </si>
  <si>
    <t>mp8</t>
  </si>
  <si>
    <t>msegm 8</t>
  </si>
  <si>
    <t>ms10</t>
  </si>
  <si>
    <t>mh10</t>
  </si>
  <si>
    <t>mtr10</t>
  </si>
  <si>
    <t>ms11</t>
  </si>
  <si>
    <t>mh11</t>
  </si>
  <si>
    <t>mtr 11</t>
  </si>
  <si>
    <t>ms12</t>
  </si>
  <si>
    <t>marea</t>
  </si>
  <si>
    <t>gs1</t>
  </si>
  <si>
    <t>gh1</t>
  </si>
  <si>
    <t>gtr1</t>
  </si>
  <si>
    <t>gp1</t>
  </si>
  <si>
    <t>gsegm 1</t>
  </si>
  <si>
    <t>gs2</t>
  </si>
  <si>
    <t>gp2</t>
  </si>
  <si>
    <t>gsegm 2</t>
  </si>
  <si>
    <t>gs3</t>
  </si>
  <si>
    <t>gp3</t>
  </si>
  <si>
    <t>gsegm 3</t>
  </si>
  <si>
    <t>circ.</t>
  </si>
  <si>
    <t>area</t>
  </si>
  <si>
    <t>sailnumber</t>
  </si>
  <si>
    <t>Date</t>
  </si>
  <si>
    <t>mbutton</t>
  </si>
  <si>
    <t>gbutton</t>
  </si>
  <si>
    <t>sbutton</t>
  </si>
  <si>
    <t>hbutton</t>
  </si>
  <si>
    <t>mtop</t>
  </si>
  <si>
    <t>ma</t>
  </si>
  <si>
    <t>mb</t>
  </si>
  <si>
    <t>mc</t>
  </si>
  <si>
    <t>mfoot</t>
  </si>
  <si>
    <t>mssa</t>
  </si>
  <si>
    <t>sf</t>
  </si>
  <si>
    <t>sl1</t>
  </si>
  <si>
    <t>sl2</t>
  </si>
  <si>
    <t>smg</t>
  </si>
  <si>
    <t>SMG%</t>
  </si>
  <si>
    <t>sas</t>
  </si>
  <si>
    <t>main</t>
  </si>
  <si>
    <t>jib</t>
  </si>
  <si>
    <t>vlg</t>
  </si>
  <si>
    <t>remarks</t>
  </si>
  <si>
    <t>Stability</t>
  </si>
  <si>
    <t>factor</t>
  </si>
  <si>
    <t>inmput</t>
  </si>
  <si>
    <t>no spi</t>
  </si>
  <si>
    <t>incl. Spi</t>
  </si>
  <si>
    <t>width</t>
  </si>
  <si>
    <t>nr</t>
  </si>
  <si>
    <t>excl spi</t>
  </si>
  <si>
    <t>incl spi</t>
  </si>
  <si>
    <t>if E &lt;&gt; H1</t>
  </si>
  <si>
    <t>or meas.</t>
  </si>
  <si>
    <t>incl mast</t>
  </si>
  <si>
    <t>foot&lt;Emax</t>
  </si>
  <si>
    <t>lpg^2</t>
  </si>
  <si>
    <t>correction</t>
  </si>
  <si>
    <t>incl. spi</t>
  </si>
  <si>
    <t>(VLM1)</t>
  </si>
  <si>
    <t>(VLM2)</t>
  </si>
  <si>
    <t>mast</t>
  </si>
  <si>
    <t>to SF</t>
  </si>
  <si>
    <t>no details</t>
  </si>
  <si>
    <t>Heeling</t>
  </si>
  <si>
    <t>Righting</t>
  </si>
  <si>
    <t>schrs</t>
  </si>
  <si>
    <t>total mast length</t>
  </si>
  <si>
    <t>Total</t>
  </si>
  <si>
    <t>mast length</t>
  </si>
  <si>
    <t>smg%</t>
  </si>
  <si>
    <t>gs1_short</t>
  </si>
  <si>
    <t>gs4</t>
  </si>
  <si>
    <t>gp4</t>
  </si>
  <si>
    <t>gtr4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</si>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</sst>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d/mmm/yy;@"/>
    <numFmt numFmtId="165" formatCode="dd/mm/yyyy"/>
    <numFmt numFmtId="166" formatCode="0.00#"/>
    <numFmt numFmtId="167" formatCode="0.000"/>
    <numFmt numFmtId="168" formatCode="0.00_)"/>
    <numFmt numFmtId="169" formatCode="0.0"/>
    <numFmt numFmtId="170" formatCode="d/mm/yy"/>
    <numFmt numFmtId="171" formatCode="General\ "/>
    <numFmt numFmtId="172" formatCode="#,##0\ "/>
    <numFmt numFmtId="173" formatCode="0.00\ "/>
    <numFmt numFmtId="174" formatCode="0.0000"/>
    <numFmt numFmtId="175" formatCode="0\ "/>
    <numFmt numFmtId="176" formatCode="d\ mmm\ yyyy"/>
  </numFmts>
  <fonts count="10" x14ac:knownFonts="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9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0" fillId="0" borderId="0" xfId="0" applyNumberFormat="1" applyProtection="1"/>
    <xf numFmtId="0" fontId="0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2" xfId="0" applyFont="1" applyBorder="1" applyProtection="1"/>
    <xf numFmtId="0" fontId="0" fillId="0" borderId="3" xfId="0" applyBorder="1" applyProtection="1"/>
    <xf numFmtId="0" fontId="0" fillId="0" borderId="4" xfId="0" applyFont="1" applyBorder="1" applyProtection="1"/>
    <xf numFmtId="0" fontId="0" fillId="0" borderId="5" xfId="0" applyBorder="1" applyProtection="1"/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/>
    <xf numFmtId="0" fontId="0" fillId="0" borderId="0" xfId="0" applyFon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2" fontId="0" fillId="0" borderId="0" xfId="0" applyNumberFormat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0" fontId="0" fillId="0" borderId="0" xfId="0" applyFont="1" applyAlignment="1" applyProtection="1">
      <alignment horizontal="left"/>
    </xf>
    <xf numFmtId="167" fontId="0" fillId="2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Protection="1"/>
    <xf numFmtId="0" fontId="0" fillId="0" borderId="0" xfId="0" applyNumberFormat="1" applyBorder="1" applyProtection="1"/>
    <xf numFmtId="0" fontId="0" fillId="0" borderId="0" xfId="0" applyFont="1" applyFill="1" applyBorder="1" applyProtection="1"/>
    <xf numFmtId="0" fontId="1" fillId="0" borderId="0" xfId="0" applyNumberFormat="1" applyFont="1" applyBorder="1" applyAlignment="1" applyProtection="1">
      <alignment horizontal="center"/>
    </xf>
    <xf numFmtId="168" fontId="0" fillId="0" borderId="0" xfId="0" applyNumberFormat="1" applyFont="1" applyAlignment="1" applyProtection="1">
      <alignment horizontal="center"/>
    </xf>
    <xf numFmtId="166" fontId="0" fillId="0" borderId="6" xfId="0" applyNumberFormat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</xf>
    <xf numFmtId="166" fontId="0" fillId="0" borderId="9" xfId="0" applyNumberFormat="1" applyBorder="1" applyAlignment="1" applyProtection="1">
      <alignment horizontal="center"/>
      <protection locked="0"/>
    </xf>
    <xf numFmtId="166" fontId="0" fillId="0" borderId="0" xfId="0" applyNumberFormat="1" applyProtection="1"/>
    <xf numFmtId="166" fontId="2" fillId="0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0" borderId="0" xfId="0" applyFont="1" applyProtection="1"/>
    <xf numFmtId="169" fontId="2" fillId="0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applyProtection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75" fontId="0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</xf>
    <xf numFmtId="173" fontId="2" fillId="0" borderId="0" xfId="0" applyNumberFormat="1" applyFont="1" applyFill="1" applyBorder="1" applyAlignment="1" applyProtection="1">
      <alignment horizontal="center"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3" fontId="0" fillId="0" borderId="0" xfId="0" applyNumberFormat="1" applyFont="1" applyFill="1" applyBorder="1" applyAlignment="1" applyProtection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/>
    </xf>
    <xf numFmtId="175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</xf>
    <xf numFmtId="2" fontId="0" fillId="0" borderId="0" xfId="0" applyNumberFormat="1" applyFont="1" applyFill="1" applyBorder="1" applyAlignment="1" applyProtection="1">
      <alignment horizontal="left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 applyProtection="1">
      <alignment horizontal="left" vertical="center"/>
      <protection locked="0"/>
    </xf>
    <xf numFmtId="2" fontId="4" fillId="0" borderId="0" xfId="0" applyNumberFormat="1" applyFont="1" applyFill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169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 applyProtection="1">
      <alignment vertical="center"/>
      <protection locked="0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horizontal="left" vertical="center"/>
      <protection locked="0"/>
    </xf>
    <xf numFmtId="169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6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/>
    </xf>
    <xf numFmtId="172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/>
    <xf numFmtId="0" fontId="2" fillId="0" borderId="0" xfId="0" applyFont="1" applyFill="1" applyBorder="1" applyAlignment="1" applyProtection="1">
      <alignment vertical="center"/>
      <protection locked="0"/>
    </xf>
    <xf numFmtId="17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72" fontId="4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 applyProtection="1">
      <alignment horizontal="center" vertical="center"/>
      <protection locked="0"/>
    </xf>
    <xf numFmtId="172" fontId="1" fillId="0" borderId="0" xfId="0" applyNumberFormat="1" applyFont="1" applyFill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/>
    </xf>
    <xf numFmtId="1" fontId="1" fillId="0" borderId="11" xfId="0" applyNumberFormat="1" applyFont="1" applyBorder="1" applyAlignment="1" applyProtection="1">
      <alignment horizontal="center"/>
    </xf>
    <xf numFmtId="14" fontId="1" fillId="0" borderId="0" xfId="0" applyNumberFormat="1" applyFont="1" applyAlignment="1" applyProtection="1">
      <alignment horizontal="center"/>
    </xf>
    <xf numFmtId="172" fontId="1" fillId="0" borderId="0" xfId="0" applyNumberFormat="1" applyFont="1" applyFill="1" applyBorder="1" applyAlignment="1" applyProtection="1">
      <alignment horizontal="center" vertical="center"/>
      <protection locked="0"/>
    </xf>
    <xf numFmtId="172" fontId="1" fillId="0" borderId="0" xfId="0" applyNumberFormat="1" applyFont="1" applyFill="1" applyBorder="1" applyAlignment="1" applyProtection="1">
      <alignment horizontal="center" vertical="center"/>
    </xf>
    <xf numFmtId="171" fontId="7" fillId="0" borderId="0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73" fontId="7" fillId="0" borderId="0" xfId="0" applyNumberFormat="1" applyFont="1" applyBorder="1" applyAlignment="1" applyProtection="1">
      <alignment horizontal="center" vertical="center"/>
    </xf>
    <xf numFmtId="2" fontId="7" fillId="0" borderId="0" xfId="0" applyNumberFormat="1" applyFont="1" applyBorder="1" applyAlignment="1" applyProtection="1">
      <alignment horizontal="center" vertical="center"/>
    </xf>
    <xf numFmtId="167" fontId="7" fillId="0" borderId="0" xfId="0" applyNumberFormat="1" applyFont="1" applyBorder="1" applyAlignment="1" applyProtection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167" fontId="9" fillId="0" borderId="0" xfId="0" applyNumberFormat="1" applyFont="1" applyBorder="1" applyAlignment="1" applyProtection="1">
      <alignment horizontal="center" vertical="center"/>
    </xf>
    <xf numFmtId="172" fontId="7" fillId="0" borderId="0" xfId="0" applyNumberFormat="1" applyFont="1" applyBorder="1" applyAlignment="1" applyProtection="1">
      <alignment horizontal="center" vertical="center"/>
    </xf>
    <xf numFmtId="2" fontId="7" fillId="0" borderId="0" xfId="0" applyNumberFormat="1" applyFont="1" applyBorder="1" applyAlignment="1" applyProtection="1">
      <alignment horizontal="center" vertical="center"/>
      <protection locked="0"/>
    </xf>
    <xf numFmtId="10" fontId="7" fillId="0" borderId="0" xfId="0" applyNumberFormat="1" applyFont="1" applyBorder="1" applyAlignment="1" applyProtection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7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/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/>
    <xf numFmtId="0" fontId="0" fillId="0" borderId="0" xfId="0" applyNumberFormat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172" fontId="4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 applyProtection="1">
      <alignment horizontal="center" vertical="center"/>
      <protection locked="0"/>
    </xf>
    <xf numFmtId="172" fontId="1" fillId="0" borderId="0" xfId="0" applyNumberFormat="1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166" fontId="0" fillId="3" borderId="1" xfId="0" applyNumberForma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41275</xdr:colOff>
      <xdr:row>23</xdr:row>
      <xdr:rowOff>38100</xdr:rowOff>
    </xdr:from>
    <xdr:to>
      <xdr:col>7</xdr:col>
      <xdr:colOff>727075</xdr:colOff>
      <xdr:row>50</xdr:row>
      <xdr:rowOff>19050</xdr:rowOff>
    </xdr:to>
    <xdr:pic>
      <xdr:nvPicPr>
        <xdr:cNvPr id="1090" name="Picture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0608" y="4038600"/>
          <a:ext cx="2992967" cy="493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627289</xdr:colOff>
      <xdr:row>32</xdr:row>
      <xdr:rowOff>121103</xdr:rowOff>
    </xdr:from>
    <xdr:to>
      <xdr:col>11</xdr:col>
      <xdr:colOff>284389</xdr:colOff>
      <xdr:row>45</xdr:row>
      <xdr:rowOff>25853</xdr:rowOff>
    </xdr:to>
    <xdr:pic>
      <xdr:nvPicPr>
        <xdr:cNvPr id="1091" name="Picture 4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0218" y="6217103"/>
          <a:ext cx="2174421" cy="23268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38100</xdr:colOff>
      <xdr:row>2</xdr:row>
      <xdr:rowOff>9525</xdr:rowOff>
    </xdr:from>
    <xdr:to>
      <xdr:col>8</xdr:col>
      <xdr:colOff>314325</xdr:colOff>
      <xdr:row>23</xdr:row>
      <xdr:rowOff>85725</xdr:rowOff>
    </xdr:to>
    <xdr:pic>
      <xdr:nvPicPr>
        <xdr:cNvPr id="1092" name="Picture 2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390525"/>
          <a:ext cx="4219575" cy="3695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533400</xdr:colOff>
      <xdr:row>7</xdr:row>
      <xdr:rowOff>28575</xdr:rowOff>
    </xdr:from>
    <xdr:to>
      <xdr:col>11</xdr:col>
      <xdr:colOff>457200</xdr:colOff>
      <xdr:row>28</xdr:row>
      <xdr:rowOff>123825</xdr:rowOff>
    </xdr:to>
    <xdr:pic>
      <xdr:nvPicPr>
        <xdr:cNvPr id="1093" name="Picture 26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83" r="47310"/>
        <a:stretch>
          <a:fillRect/>
        </a:stretch>
      </xdr:blipFill>
      <xdr:spPr bwMode="auto">
        <a:xfrm>
          <a:off x="7620000" y="1362075"/>
          <a:ext cx="2438400" cy="3714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1683" r="47310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2</xdr:col>
      <xdr:colOff>95250</xdr:colOff>
      <xdr:row>56</xdr:row>
      <xdr:rowOff>57150</xdr:rowOff>
    </xdr:to>
    <xdr:pic>
      <xdr:nvPicPr>
        <xdr:cNvPr id="1094" name="Afbeeldingen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4350"/>
          <a:ext cx="3238500" cy="1924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65"/>
  <sheetViews>
    <sheetView tabSelected="1" zoomScaleNormal="100" workbookViewId="0"/>
  </sheetViews>
  <sheetFormatPr defaultColWidth="9" defaultRowHeight="12.75" x14ac:dyDescent="0.2"/>
  <cols>
    <col min="1" max="1" width="30.85546875" style="1" customWidth="1"/>
    <col min="2" max="2" width="16.28515625" style="1" customWidth="1"/>
    <col min="3" max="3" width="12.5703125" style="1" customWidth="1"/>
    <col min="4" max="5" width="9" style="1"/>
    <col min="6" max="6" width="9.28515625" style="1" customWidth="1"/>
    <col min="7" max="7" width="7.140625" style="1" customWidth="1"/>
    <col min="8" max="8" width="12.140625" style="1" customWidth="1"/>
    <col min="9" max="9" width="12.7109375" style="2" customWidth="1"/>
    <col min="10" max="10" width="15.28515625" style="2" customWidth="1"/>
    <col min="11" max="11" width="9.7109375" style="1" customWidth="1"/>
    <col min="12" max="12" width="8.7109375" style="1" customWidth="1"/>
    <col min="13" max="13" width="9.85546875" style="1" customWidth="1"/>
    <col min="14" max="14" width="10.85546875" style="1" customWidth="1"/>
    <col min="15" max="18" width="9" style="1"/>
    <col min="19" max="19" width="18.140625" style="1" customWidth="1"/>
    <col min="20" max="20" width="9.28515625" style="2" customWidth="1"/>
    <col min="21" max="21" width="10.85546875" style="2" customWidth="1"/>
    <col min="22" max="16384" width="9" style="1"/>
  </cols>
  <sheetData>
    <row r="1" spans="1:43" ht="15.6" customHeight="1" x14ac:dyDescent="0.2">
      <c r="A1" s="3" t="s">
        <v>0</v>
      </c>
      <c r="B1" s="105">
        <v>43629</v>
      </c>
      <c r="C1" s="4"/>
      <c r="D1" s="4"/>
      <c r="E1" s="4"/>
      <c r="F1" s="4"/>
      <c r="J1" s="3"/>
      <c r="K1" s="4"/>
      <c r="L1" s="4"/>
      <c r="M1" s="4"/>
      <c r="N1" s="3"/>
      <c r="P1" s="4"/>
      <c r="S1" s="5"/>
      <c r="T1" s="5"/>
    </row>
    <row r="2" spans="1:43" ht="15.6" customHeight="1" x14ac:dyDescent="0.2">
      <c r="B2" s="6"/>
      <c r="C2" s="131" t="s">
        <v>1</v>
      </c>
      <c r="D2" s="131"/>
      <c r="E2" s="131"/>
      <c r="F2" s="131"/>
      <c r="G2" s="131"/>
      <c r="H2" s="131"/>
      <c r="I2" s="131"/>
      <c r="P2" s="7"/>
      <c r="Q2" s="7"/>
      <c r="R2" s="7"/>
      <c r="S2" s="8"/>
      <c r="T2" s="5"/>
    </row>
    <row r="3" spans="1:43" ht="15.6" customHeight="1" x14ac:dyDescent="0.2">
      <c r="A3" s="6" t="s">
        <v>2</v>
      </c>
      <c r="B3" s="9" t="s">
        <v>61</v>
      </c>
      <c r="C3" s="10"/>
      <c r="D3" s="10"/>
      <c r="K3" s="11" t="s">
        <v>3</v>
      </c>
      <c r="L3" s="12"/>
      <c r="M3" s="12"/>
      <c r="N3" s="103">
        <f>'data trtotal'!C6</f>
        <v>90.477447272060076</v>
      </c>
      <c r="AH3" s="7"/>
      <c r="AQ3" s="2"/>
    </row>
    <row r="4" spans="1:43" ht="15.6" customHeight="1" x14ac:dyDescent="0.2">
      <c r="A4" s="6" t="s">
        <v>4</v>
      </c>
      <c r="B4" s="9">
        <v>2</v>
      </c>
      <c r="C4" s="10"/>
      <c r="D4" s="10"/>
      <c r="K4" s="13" t="s">
        <v>5</v>
      </c>
      <c r="L4" s="14"/>
      <c r="M4" s="14"/>
      <c r="N4" s="104">
        <f>'data trtotal'!D6</f>
        <v>86.263610416111504</v>
      </c>
      <c r="AP4" s="2"/>
      <c r="AQ4" s="2"/>
    </row>
    <row r="5" spans="1:43" ht="15.6" customHeight="1" x14ac:dyDescent="0.2">
      <c r="A5" s="6" t="s">
        <v>6</v>
      </c>
      <c r="B5" s="15">
        <v>43623</v>
      </c>
      <c r="C5" s="16"/>
      <c r="D5" s="16"/>
      <c r="S5" s="5"/>
      <c r="T5" s="8"/>
      <c r="AH5" s="4"/>
    </row>
    <row r="6" spans="1:43" ht="15.6" customHeight="1" x14ac:dyDescent="0.2">
      <c r="A6" s="6" t="s">
        <v>7</v>
      </c>
      <c r="B6" s="17" t="s">
        <v>8</v>
      </c>
      <c r="C6" s="10"/>
      <c r="D6" s="10"/>
      <c r="S6" s="5"/>
      <c r="T6" s="8"/>
    </row>
    <row r="7" spans="1:43" ht="15.6" customHeight="1" x14ac:dyDescent="0.2">
      <c r="A7" s="6" t="s">
        <v>9</v>
      </c>
      <c r="B7" s="9" t="s">
        <v>10</v>
      </c>
      <c r="C7" s="10"/>
      <c r="D7" s="10"/>
      <c r="K7" s="7"/>
      <c r="L7" s="7" t="s">
        <v>11</v>
      </c>
      <c r="M7" s="7"/>
      <c r="N7" s="7"/>
      <c r="O7" s="7"/>
      <c r="S7" s="5"/>
      <c r="T7" s="8"/>
    </row>
    <row r="8" spans="1:43" ht="15.6" customHeight="1" x14ac:dyDescent="0.2">
      <c r="A8" s="6" t="s">
        <v>12</v>
      </c>
      <c r="B8" s="9">
        <v>111</v>
      </c>
      <c r="C8" s="10"/>
      <c r="D8" s="10"/>
      <c r="J8" s="1"/>
      <c r="S8" s="5"/>
      <c r="T8" s="8"/>
    </row>
    <row r="9" spans="1:43" ht="15.6" customHeight="1" x14ac:dyDescent="0.2">
      <c r="A9" s="6" t="s">
        <v>13</v>
      </c>
      <c r="B9" s="9">
        <v>222</v>
      </c>
      <c r="C9" s="10"/>
      <c r="D9" s="10"/>
      <c r="J9" s="6"/>
      <c r="N9" s="4" t="s">
        <v>14</v>
      </c>
      <c r="O9" s="4"/>
      <c r="S9" s="5"/>
      <c r="T9" s="8"/>
    </row>
    <row r="10" spans="1:43" ht="15.6" customHeight="1" x14ac:dyDescent="0.2">
      <c r="A10" s="6" t="s">
        <v>15</v>
      </c>
      <c r="B10" s="9">
        <v>333</v>
      </c>
      <c r="C10" s="10"/>
      <c r="D10" s="10"/>
      <c r="J10" s="6"/>
      <c r="N10" s="2"/>
      <c r="O10" s="2"/>
      <c r="S10" s="5"/>
      <c r="T10" s="8"/>
      <c r="AH10" s="18"/>
    </row>
    <row r="11" spans="1:43" ht="15.6" customHeight="1" x14ac:dyDescent="0.2">
      <c r="A11" s="6" t="s">
        <v>16</v>
      </c>
      <c r="B11" s="9">
        <v>444</v>
      </c>
      <c r="C11" s="10"/>
      <c r="D11" s="10"/>
      <c r="J11" s="1"/>
      <c r="N11" s="2"/>
      <c r="O11" s="2"/>
      <c r="S11" s="5"/>
      <c r="T11" s="8"/>
      <c r="AH11" s="18"/>
    </row>
    <row r="12" spans="1:43" ht="15.6" customHeight="1" x14ac:dyDescent="0.2">
      <c r="A12" s="6" t="s">
        <v>17</v>
      </c>
      <c r="B12" s="9">
        <v>999999</v>
      </c>
      <c r="C12" s="10"/>
      <c r="D12" s="10"/>
      <c r="J12" s="6"/>
      <c r="M12" s="19" t="s">
        <v>18</v>
      </c>
      <c r="N12" s="141">
        <v>7.39</v>
      </c>
      <c r="O12" s="20"/>
      <c r="S12" s="5"/>
      <c r="T12" s="8"/>
    </row>
    <row r="13" spans="1:43" ht="15.6" customHeight="1" x14ac:dyDescent="0.2">
      <c r="A13" s="6" t="s">
        <v>19</v>
      </c>
      <c r="B13" s="9"/>
      <c r="J13" s="1"/>
      <c r="M13" s="19" t="s">
        <v>20</v>
      </c>
      <c r="N13" s="141">
        <v>1.51</v>
      </c>
      <c r="O13" s="22">
        <f>N12*N13*0.5</f>
        <v>5.5794499999999996</v>
      </c>
      <c r="S13" s="5"/>
      <c r="T13" s="8"/>
      <c r="AH13" s="23"/>
    </row>
    <row r="14" spans="1:43" ht="15.6" customHeight="1" x14ac:dyDescent="0.2">
      <c r="A14" s="6" t="s">
        <v>21</v>
      </c>
      <c r="B14" s="136">
        <v>6.2</v>
      </c>
      <c r="J14" s="1"/>
      <c r="M14" s="19" t="s">
        <v>22</v>
      </c>
      <c r="N14" s="21">
        <v>-5.0000000000000001E-3</v>
      </c>
      <c r="O14" s="22">
        <f>N12*N14*2/3</f>
        <v>-2.463333333333333E-2</v>
      </c>
      <c r="S14" s="5"/>
      <c r="T14" s="8"/>
      <c r="AH14" s="23"/>
    </row>
    <row r="15" spans="1:43" ht="15.6" customHeight="1" x14ac:dyDescent="0.2">
      <c r="A15" s="6" t="s">
        <v>23</v>
      </c>
      <c r="B15" s="137">
        <v>6.2</v>
      </c>
      <c r="J15" s="1"/>
      <c r="M15" s="19" t="s">
        <v>24</v>
      </c>
      <c r="N15" s="21">
        <v>7.39</v>
      </c>
      <c r="O15" s="20"/>
      <c r="S15" s="5"/>
      <c r="T15" s="8"/>
      <c r="AH15" s="23"/>
    </row>
    <row r="16" spans="1:43" ht="15.6" customHeight="1" x14ac:dyDescent="0.2">
      <c r="A16" s="6" t="s">
        <v>25</v>
      </c>
      <c r="B16" s="138">
        <v>2.35</v>
      </c>
      <c r="J16" s="1"/>
      <c r="M16" s="19" t="s">
        <v>26</v>
      </c>
      <c r="N16" s="21">
        <v>-0.06</v>
      </c>
      <c r="O16" s="22">
        <f>N15*N16*2/3</f>
        <v>-0.29559999999999997</v>
      </c>
      <c r="P16" s="24"/>
      <c r="S16" s="5"/>
      <c r="T16" s="8"/>
    </row>
    <row r="17" spans="1:34" ht="15.6" customHeight="1" x14ac:dyDescent="0.2">
      <c r="A17" s="6" t="s">
        <v>27</v>
      </c>
      <c r="B17" s="139">
        <v>3.2</v>
      </c>
      <c r="J17" s="1"/>
      <c r="M17" s="19" t="s">
        <v>28</v>
      </c>
      <c r="N17" s="21">
        <v>1.595</v>
      </c>
      <c r="O17" s="22"/>
      <c r="S17" s="5"/>
      <c r="T17" s="8"/>
      <c r="AH17" s="23"/>
    </row>
    <row r="18" spans="1:34" ht="15.6" customHeight="1" x14ac:dyDescent="0.2">
      <c r="A18" s="6" t="s">
        <v>29</v>
      </c>
      <c r="B18" s="139">
        <v>0.42</v>
      </c>
      <c r="J18" s="1"/>
      <c r="M18" s="19" t="s">
        <v>30</v>
      </c>
      <c r="N18" s="21">
        <v>5.5E-2</v>
      </c>
      <c r="O18" s="22">
        <f>N17*N18*2/3</f>
        <v>5.8483333333333332E-2</v>
      </c>
      <c r="P18" s="2"/>
      <c r="S18" s="5"/>
      <c r="T18" s="8"/>
      <c r="AH18" s="23"/>
    </row>
    <row r="19" spans="1:34" ht="15.6" customHeight="1" x14ac:dyDescent="0.2">
      <c r="A19" s="6" t="s">
        <v>31</v>
      </c>
      <c r="B19" s="140">
        <v>2</v>
      </c>
      <c r="J19" s="1"/>
      <c r="M19" s="2" t="s">
        <v>32</v>
      </c>
      <c r="N19" s="22"/>
      <c r="O19" s="25">
        <f>SUM(O12:O18)</f>
        <v>5.3176999999999994</v>
      </c>
      <c r="Q19" s="2"/>
      <c r="R19" s="2"/>
      <c r="S19" s="8"/>
      <c r="T19" s="5"/>
    </row>
    <row r="20" spans="1:34" ht="15.6" customHeight="1" x14ac:dyDescent="0.2">
      <c r="A20" s="6" t="s">
        <v>33</v>
      </c>
      <c r="B20" s="138"/>
      <c r="C20" s="2"/>
      <c r="J20" s="1"/>
      <c r="M20" s="26" t="s">
        <v>34</v>
      </c>
      <c r="O20" s="27"/>
      <c r="Q20" s="2"/>
      <c r="R20" s="2"/>
      <c r="S20" s="8"/>
      <c r="T20" s="28"/>
      <c r="AH20" s="28"/>
    </row>
    <row r="21" spans="1:34" ht="15.6" customHeight="1" thickTop="1" thickBot="1" x14ac:dyDescent="0.25">
      <c r="A21" s="6" t="s">
        <v>35</v>
      </c>
      <c r="B21" s="138">
        <v>192</v>
      </c>
      <c r="C21" s="2"/>
      <c r="J21" s="1"/>
      <c r="M21" s="2"/>
      <c r="Q21" s="2"/>
      <c r="R21" s="2"/>
      <c r="S21" s="8"/>
      <c r="T21" s="5"/>
    </row>
    <row r="22" spans="1:34" ht="15.6" customHeight="1" thickTop="1" thickBot="1" x14ac:dyDescent="0.25">
      <c r="A22" s="6" t="s">
        <v>192</v>
      </c>
      <c r="B22" s="138">
        <v>10.45</v>
      </c>
      <c r="C22" s="2"/>
      <c r="J22" s="1"/>
      <c r="M22" s="2"/>
      <c r="Q22" s="2"/>
      <c r="R22" s="2"/>
      <c r="S22" s="8"/>
      <c r="T22" s="5"/>
    </row>
    <row r="23" spans="1:34" ht="15.6" customHeight="1" thickTop="1" thickBot="1" x14ac:dyDescent="0.25">
      <c r="A23" s="6" t="s">
        <v>167</v>
      </c>
      <c r="B23" s="138" t="s">
        <v>200</v>
      </c>
      <c r="C23" s="2"/>
      <c r="J23" s="1"/>
      <c r="M23" s="2"/>
      <c r="Q23" s="2"/>
      <c r="R23" s="2"/>
      <c r="S23" s="8"/>
      <c r="T23" s="5"/>
    </row>
    <row r="24" spans="1:34" ht="15.6" customHeight="1" thickTop="1" x14ac:dyDescent="0.2">
      <c r="J24" s="1"/>
      <c r="M24" s="2"/>
      <c r="Q24" s="2"/>
      <c r="R24" s="2"/>
      <c r="S24" s="8"/>
      <c r="T24" s="5"/>
    </row>
    <row r="25" spans="1:34" ht="15.6" customHeight="1" x14ac:dyDescent="0.2">
      <c r="A25" s="132" t="s">
        <v>36</v>
      </c>
      <c r="B25" s="132"/>
      <c r="C25" s="132"/>
      <c r="D25" s="132"/>
      <c r="E25" s="132"/>
      <c r="F25" s="132"/>
      <c r="G25" s="132"/>
      <c r="J25" s="1"/>
      <c r="M25" s="2"/>
      <c r="O25" s="2"/>
      <c r="Q25" s="2"/>
      <c r="R25" s="2"/>
      <c r="S25" s="8"/>
      <c r="T25" s="29"/>
      <c r="AH25" s="18"/>
    </row>
    <row r="26" spans="1:34" ht="15.6" customHeight="1" thickBot="1" x14ac:dyDescent="0.25">
      <c r="J26" s="1"/>
      <c r="M26" s="2"/>
      <c r="Q26" s="2"/>
      <c r="R26" s="2"/>
      <c r="S26" s="8"/>
      <c r="T26" s="5"/>
    </row>
    <row r="27" spans="1:34" ht="15.6" customHeight="1" thickTop="1" thickBot="1" x14ac:dyDescent="0.25">
      <c r="A27" s="6" t="s">
        <v>18</v>
      </c>
      <c r="B27" s="141">
        <v>10.029999999999999</v>
      </c>
      <c r="C27" s="20"/>
      <c r="D27" s="2"/>
      <c r="I27" s="1"/>
      <c r="J27" s="1"/>
      <c r="M27" s="2"/>
      <c r="Q27" s="2"/>
      <c r="R27" s="2"/>
      <c r="S27" s="8"/>
      <c r="T27" s="5"/>
    </row>
    <row r="28" spans="1:34" ht="15.6" customHeight="1" thickTop="1" thickBot="1" x14ac:dyDescent="0.25">
      <c r="A28" s="30" t="s">
        <v>20</v>
      </c>
      <c r="B28" s="141">
        <v>2.395</v>
      </c>
      <c r="C28" s="20">
        <f>B27*B28*0.5</f>
        <v>12.010924999999999</v>
      </c>
      <c r="D28" s="2"/>
      <c r="J28" s="1"/>
      <c r="M28" s="2"/>
      <c r="P28" s="7"/>
      <c r="S28" s="5"/>
      <c r="T28" s="8"/>
    </row>
    <row r="29" spans="1:34" ht="15.6" customHeight="1" thickTop="1" thickBot="1" x14ac:dyDescent="0.25">
      <c r="A29" s="30" t="s">
        <v>22</v>
      </c>
      <c r="B29" s="21">
        <v>0.14000000000000001</v>
      </c>
      <c r="C29" s="20">
        <f>B27*B29*2/3</f>
        <v>0.93613333333333337</v>
      </c>
      <c r="D29" s="2"/>
      <c r="J29" s="1"/>
      <c r="M29" s="2"/>
      <c r="R29" s="2"/>
      <c r="S29" s="8"/>
      <c r="T29" s="5"/>
    </row>
    <row r="30" spans="1:34" ht="15.6" customHeight="1" x14ac:dyDescent="0.2">
      <c r="A30" s="6" t="s">
        <v>24</v>
      </c>
      <c r="B30" s="21"/>
      <c r="C30" s="20"/>
      <c r="D30" s="2"/>
      <c r="I30" s="1"/>
      <c r="J30" s="1"/>
      <c r="M30" s="2"/>
      <c r="S30" s="31"/>
      <c r="T30" s="5"/>
    </row>
    <row r="31" spans="1:34" ht="15.6" customHeight="1" thickTop="1" thickBot="1" x14ac:dyDescent="0.25">
      <c r="A31" s="30" t="s">
        <v>26</v>
      </c>
      <c r="B31" s="21">
        <v>0</v>
      </c>
      <c r="C31" s="20">
        <f>B30*B31*2/3</f>
        <v>0</v>
      </c>
      <c r="D31" s="2"/>
      <c r="I31" s="1"/>
      <c r="J31" s="1"/>
      <c r="M31" s="2"/>
      <c r="S31" s="5"/>
      <c r="T31" s="5"/>
    </row>
    <row r="32" spans="1:34" ht="15.6" customHeight="1" thickTop="1" thickBot="1" x14ac:dyDescent="0.25">
      <c r="A32" s="6" t="s">
        <v>28</v>
      </c>
      <c r="B32" s="21">
        <v>9.76</v>
      </c>
      <c r="C32" s="20"/>
      <c r="D32" s="2"/>
      <c r="I32" s="1"/>
      <c r="J32" s="1"/>
      <c r="K32" s="7" t="s">
        <v>38</v>
      </c>
      <c r="M32" s="2"/>
      <c r="S32" s="5"/>
      <c r="T32" s="5"/>
    </row>
    <row r="33" spans="1:43" ht="15.6" customHeight="1" thickTop="1" thickBot="1" x14ac:dyDescent="0.25">
      <c r="A33" s="30" t="s">
        <v>37</v>
      </c>
      <c r="B33" s="21">
        <v>0.66</v>
      </c>
      <c r="C33" s="20">
        <f>B32*B33*0.5</f>
        <v>3.2208000000000001</v>
      </c>
      <c r="D33" s="2"/>
      <c r="I33" s="1"/>
      <c r="L33" s="7"/>
      <c r="M33" s="7"/>
      <c r="N33" s="7"/>
      <c r="O33" s="7"/>
      <c r="S33" s="5"/>
      <c r="T33" s="5"/>
    </row>
    <row r="34" spans="1:43" ht="15.6" customHeight="1" thickTop="1" thickBot="1" x14ac:dyDescent="0.25">
      <c r="A34" s="6" t="s">
        <v>39</v>
      </c>
      <c r="B34" s="21">
        <v>4.62</v>
      </c>
      <c r="C34" s="20"/>
      <c r="D34" s="2"/>
      <c r="I34" s="1"/>
      <c r="J34" s="1"/>
      <c r="M34" s="2"/>
      <c r="S34" s="5"/>
      <c r="T34" s="5"/>
    </row>
    <row r="35" spans="1:43" ht="15.6" customHeight="1" x14ac:dyDescent="0.2">
      <c r="A35" s="30" t="s">
        <v>40</v>
      </c>
      <c r="B35" s="21">
        <v>0.64</v>
      </c>
      <c r="C35" s="20">
        <f>B34*B35*0.5</f>
        <v>1.4784000000000002</v>
      </c>
      <c r="D35" s="2"/>
      <c r="I35" s="1"/>
      <c r="J35" s="1"/>
      <c r="M35" s="2"/>
      <c r="S35" s="5"/>
      <c r="T35" s="5"/>
    </row>
    <row r="36" spans="1:43" ht="15.6" customHeight="1" x14ac:dyDescent="0.2">
      <c r="A36" s="30" t="s">
        <v>41</v>
      </c>
      <c r="B36" s="21"/>
      <c r="C36" s="20"/>
      <c r="D36" s="2"/>
      <c r="I36" s="1"/>
      <c r="J36" s="1"/>
      <c r="M36" s="4" t="s">
        <v>14</v>
      </c>
      <c r="N36" s="4"/>
      <c r="S36" s="5"/>
      <c r="T36" s="5"/>
      <c r="AP36" s="2"/>
      <c r="AQ36" s="2"/>
    </row>
    <row r="37" spans="1:43" ht="15.6" customHeight="1" x14ac:dyDescent="0.2">
      <c r="A37" s="30" t="s">
        <v>42</v>
      </c>
      <c r="B37" s="21"/>
      <c r="C37" s="20">
        <f>B36*B37*2/3</f>
        <v>0</v>
      </c>
      <c r="D37" s="2"/>
      <c r="I37" s="1"/>
      <c r="J37" s="1"/>
      <c r="M37" s="2"/>
      <c r="N37" s="2"/>
      <c r="S37" s="5"/>
      <c r="T37" s="5"/>
      <c r="AP37" s="2"/>
      <c r="AQ37" s="2"/>
    </row>
    <row r="38" spans="1:43" ht="15.6" customHeight="1" x14ac:dyDescent="0.2">
      <c r="A38" s="30" t="s">
        <v>43</v>
      </c>
      <c r="B38" s="21"/>
      <c r="C38" s="20"/>
      <c r="D38" s="2"/>
      <c r="I38" s="1"/>
      <c r="J38" s="6"/>
      <c r="M38" s="19"/>
      <c r="N38" s="2"/>
      <c r="S38" s="5"/>
      <c r="T38" s="31"/>
      <c r="AH38" s="7"/>
      <c r="AQ38" s="7"/>
    </row>
    <row r="39" spans="1:43" ht="15.6" customHeight="1" x14ac:dyDescent="0.2">
      <c r="A39" s="30" t="s">
        <v>44</v>
      </c>
      <c r="B39" s="21"/>
      <c r="C39" s="20">
        <f>B38*B39*2/3</f>
        <v>0</v>
      </c>
      <c r="D39" s="2"/>
      <c r="I39" s="1"/>
      <c r="J39" s="6"/>
      <c r="M39" s="32" t="s">
        <v>45</v>
      </c>
      <c r="N39" s="33">
        <v>9.8000000000000007</v>
      </c>
      <c r="S39" s="5"/>
      <c r="T39" s="5"/>
      <c r="AP39" s="2"/>
      <c r="AQ39" s="2"/>
    </row>
    <row r="40" spans="1:43" ht="15.6" customHeight="1" x14ac:dyDescent="0.2">
      <c r="A40" s="30" t="s">
        <v>46</v>
      </c>
      <c r="B40" s="21">
        <v>2.41</v>
      </c>
      <c r="C40" s="20"/>
      <c r="D40" s="2"/>
      <c r="I40" s="1"/>
      <c r="J40" s="6"/>
      <c r="M40" s="32" t="s">
        <v>47</v>
      </c>
      <c r="N40" s="34">
        <v>8.5</v>
      </c>
      <c r="S40" s="5"/>
      <c r="T40" s="35"/>
      <c r="AH40" s="4"/>
      <c r="AP40" s="2"/>
      <c r="AQ40" s="2"/>
    </row>
    <row r="41" spans="1:43" ht="15.6" customHeight="1" x14ac:dyDescent="0.2">
      <c r="A41" s="30" t="s">
        <v>48</v>
      </c>
      <c r="B41" s="21">
        <v>1</v>
      </c>
      <c r="C41" s="20">
        <f>B40*B41*0.5</f>
        <v>1.2050000000000001</v>
      </c>
      <c r="D41" s="2"/>
      <c r="I41" s="1"/>
      <c r="J41" s="6"/>
      <c r="M41" s="32" t="s">
        <v>49</v>
      </c>
      <c r="N41" s="33">
        <v>4.5199999999999996</v>
      </c>
      <c r="S41" s="5"/>
      <c r="T41" s="5"/>
      <c r="AJ41" s="6"/>
      <c r="AP41" s="2"/>
      <c r="AQ41" s="2"/>
    </row>
    <row r="42" spans="1:43" ht="14.1" customHeight="1" x14ac:dyDescent="0.2">
      <c r="A42" s="30" t="s">
        <v>50</v>
      </c>
      <c r="B42" s="21">
        <v>2</v>
      </c>
      <c r="C42" s="20"/>
      <c r="D42" s="2"/>
      <c r="I42" s="1"/>
      <c r="J42" s="6"/>
      <c r="M42" s="32" t="s">
        <v>51</v>
      </c>
      <c r="N42" s="36">
        <v>3.44</v>
      </c>
      <c r="R42" s="2"/>
      <c r="S42" s="8"/>
      <c r="T42" s="5"/>
      <c r="AP42" s="2"/>
      <c r="AQ42" s="2"/>
    </row>
    <row r="43" spans="1:43" ht="14.1" customHeight="1" x14ac:dyDescent="0.2">
      <c r="A43" s="30" t="s">
        <v>52</v>
      </c>
      <c r="B43" s="21">
        <v>1.4999999999999999E-2</v>
      </c>
      <c r="C43" s="20">
        <f>B42*B43*2/3</f>
        <v>0.02</v>
      </c>
      <c r="D43" s="2"/>
      <c r="I43" s="1"/>
      <c r="J43" s="6"/>
      <c r="M43" s="32" t="s">
        <v>32</v>
      </c>
      <c r="N43" s="37"/>
      <c r="O43" s="38">
        <f>IF(N41,N41*(N39+N40)/4+(N42-N41/2)*(N39+N40)/3,0)</f>
        <v>27.876999999999999</v>
      </c>
      <c r="R43" s="2"/>
      <c r="S43" s="8"/>
      <c r="T43" s="29"/>
      <c r="AH43" s="18"/>
      <c r="AP43" s="2"/>
      <c r="AQ43" s="2"/>
    </row>
    <row r="44" spans="1:43" ht="14.1" customHeight="1" x14ac:dyDescent="0.2">
      <c r="A44" s="6" t="s">
        <v>53</v>
      </c>
      <c r="B44" s="20"/>
      <c r="C44" s="25">
        <f>SUM(C28:C43)</f>
        <v>18.871258333333333</v>
      </c>
      <c r="D44" s="2"/>
      <c r="I44" s="1"/>
      <c r="J44" s="6"/>
      <c r="M44" s="32" t="s">
        <v>54</v>
      </c>
      <c r="N44" s="37"/>
      <c r="O44" s="20">
        <f>IF(N41,N42/N41,0)</f>
        <v>0.76106194690265494</v>
      </c>
      <c r="R44" s="2"/>
      <c r="S44" s="8"/>
      <c r="T44" s="29"/>
      <c r="AH44" s="18"/>
      <c r="AP44" s="2"/>
      <c r="AQ44" s="2"/>
    </row>
    <row r="45" spans="1:43" ht="14.1" customHeight="1" x14ac:dyDescent="0.2">
      <c r="A45" s="1" t="s">
        <v>55</v>
      </c>
      <c r="C45" s="39"/>
      <c r="D45" s="2"/>
      <c r="I45" s="1"/>
      <c r="J45" s="6"/>
      <c r="M45" s="1" t="s">
        <v>56</v>
      </c>
      <c r="O45" s="40"/>
      <c r="Q45" s="41"/>
      <c r="R45" s="10"/>
      <c r="S45" s="8"/>
      <c r="T45" s="29"/>
      <c r="AH45" s="18"/>
      <c r="AP45" s="2"/>
      <c r="AQ45" s="2"/>
    </row>
    <row r="46" spans="1:43" ht="14.1" customHeight="1" x14ac:dyDescent="0.2">
      <c r="D46" s="2"/>
      <c r="I46" s="1"/>
      <c r="J46" s="6"/>
      <c r="Q46" s="41"/>
      <c r="R46" s="10"/>
      <c r="S46" s="8"/>
      <c r="T46" s="29"/>
      <c r="AH46" s="18"/>
      <c r="AP46" s="2"/>
      <c r="AQ46" s="2"/>
    </row>
    <row r="47" spans="1:43" ht="14.1" customHeight="1" x14ac:dyDescent="0.2">
      <c r="D47" s="2"/>
      <c r="I47" s="1"/>
      <c r="J47" s="6"/>
      <c r="R47" s="2"/>
      <c r="S47" s="8"/>
      <c r="T47" s="5"/>
      <c r="AP47" s="2"/>
      <c r="AQ47" s="2"/>
    </row>
    <row r="48" spans="1:43" ht="14.1" customHeight="1" x14ac:dyDescent="0.2">
      <c r="D48" s="2"/>
      <c r="I48" s="1"/>
      <c r="J48" s="1"/>
      <c r="L48" s="18"/>
      <c r="M48" s="18"/>
      <c r="N48" s="18"/>
      <c r="O48" s="18"/>
      <c r="S48" s="8"/>
      <c r="T48" s="42"/>
      <c r="AH48" s="42"/>
      <c r="AP48" s="2"/>
      <c r="AQ48" s="2"/>
    </row>
    <row r="49" spans="2:43" ht="14.1" customHeight="1" x14ac:dyDescent="0.2">
      <c r="B49" s="2"/>
      <c r="C49" s="2"/>
      <c r="D49" s="2"/>
      <c r="I49" s="1"/>
      <c r="J49" s="1"/>
      <c r="L49" s="18"/>
      <c r="M49" s="18"/>
      <c r="N49" s="18"/>
      <c r="O49" s="43"/>
      <c r="Q49" s="41"/>
      <c r="S49" s="5"/>
      <c r="T49" s="8"/>
      <c r="AF49" s="2"/>
      <c r="AG49" s="28"/>
      <c r="AH49" s="28"/>
      <c r="AP49" s="2"/>
      <c r="AQ49" s="2"/>
    </row>
    <row r="50" spans="2:43" ht="14.1" customHeight="1" x14ac:dyDescent="0.2">
      <c r="B50" s="2"/>
      <c r="C50" s="2"/>
      <c r="D50" s="2"/>
      <c r="I50" s="1"/>
      <c r="S50" s="5"/>
      <c r="T50" s="8"/>
      <c r="AF50" s="2"/>
      <c r="AP50" s="2"/>
      <c r="AQ50" s="2"/>
    </row>
    <row r="51" spans="2:43" ht="14.1" customHeight="1" x14ac:dyDescent="0.2">
      <c r="B51" s="2"/>
      <c r="C51" s="2"/>
      <c r="D51" s="2"/>
      <c r="I51" s="1"/>
      <c r="S51" s="5"/>
      <c r="T51" s="8"/>
      <c r="AF51" s="2"/>
      <c r="AP51" s="2"/>
      <c r="AQ51" s="2"/>
    </row>
    <row r="52" spans="2:43" ht="14.1" customHeight="1" x14ac:dyDescent="0.2">
      <c r="B52" s="2"/>
      <c r="C52" s="2"/>
      <c r="I52" s="1"/>
      <c r="S52" s="5"/>
      <c r="T52" s="8"/>
      <c r="AP52" s="2"/>
      <c r="AQ52" s="2"/>
    </row>
    <row r="53" spans="2:43" ht="14.1" customHeight="1" x14ac:dyDescent="0.2">
      <c r="B53" s="2"/>
      <c r="C53" s="2"/>
      <c r="D53" s="2" t="s">
        <v>57</v>
      </c>
      <c r="I53" s="1"/>
      <c r="S53" s="5"/>
      <c r="T53" s="8"/>
      <c r="AP53" s="2"/>
      <c r="AQ53" s="2"/>
    </row>
    <row r="54" spans="2:43" ht="14.1" customHeight="1" x14ac:dyDescent="0.2">
      <c r="B54" s="2"/>
      <c r="C54" s="2"/>
      <c r="D54" s="1" t="s">
        <v>58</v>
      </c>
      <c r="I54" s="1"/>
      <c r="S54" s="5"/>
      <c r="T54" s="8"/>
      <c r="AP54" s="2"/>
      <c r="AQ54" s="2"/>
    </row>
    <row r="55" spans="2:43" ht="14.1" customHeight="1" x14ac:dyDescent="0.2">
      <c r="D55" s="1" t="s">
        <v>59</v>
      </c>
      <c r="S55" s="5"/>
      <c r="T55" s="8"/>
      <c r="AP55" s="2"/>
      <c r="AQ55" s="2"/>
    </row>
    <row r="56" spans="2:43" ht="14.1" customHeight="1" x14ac:dyDescent="0.2">
      <c r="D56" s="1" t="s">
        <v>60</v>
      </c>
      <c r="S56" s="5"/>
      <c r="T56" s="8"/>
      <c r="AP56" s="2"/>
      <c r="AQ56" s="2"/>
    </row>
    <row r="57" spans="2:43" ht="20.100000000000001" customHeight="1" x14ac:dyDescent="0.2"/>
    <row r="58" spans="2:43" ht="20.100000000000001" customHeight="1" x14ac:dyDescent="0.2"/>
    <row r="59" spans="2:43" ht="20.100000000000001" customHeight="1" x14ac:dyDescent="0.2"/>
    <row r="60" spans="2:43" ht="20.100000000000001" customHeight="1" x14ac:dyDescent="0.2"/>
    <row r="61" spans="2:43" ht="20.100000000000001" customHeight="1" x14ac:dyDescent="0.2"/>
    <row r="62" spans="2:43" ht="20.100000000000001" customHeight="1" x14ac:dyDescent="0.2"/>
    <row r="63" spans="2:43" ht="20.100000000000001" customHeight="1" x14ac:dyDescent="0.2"/>
    <row r="64" spans="2:43" ht="20.100000000000001" customHeight="1" x14ac:dyDescent="0.2"/>
    <row r="65" ht="20.100000000000001" customHeight="1" x14ac:dyDescent="0.2"/>
  </sheetData>
  <sheetProtection sheet="1" objects="1" scenarios="1"/>
  <mergeCells count="2">
    <mergeCell ref="C2:I2"/>
    <mergeCell ref="A25:G25"/>
  </mergeCells>
  <pageMargins left="0.19652777777777777" right="0.19652777777777777" top="0.51180555555555551" bottom="0.7083333333333333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D6"/>
  <sheetViews>
    <sheetView zoomScale="90" zoomScaleNormal="90" workbookViewId="0">
      <selection activeCell="A6" sqref="A6"/>
    </sheetView>
  </sheetViews>
  <sheetFormatPr defaultRowHeight="12.75" x14ac:dyDescent="0.2"/>
  <cols>
    <col min="1" max="1" width="22.28515625" customWidth="1"/>
    <col min="5" max="9" width="0" hidden="1" customWidth="1"/>
    <col min="92" max="92" width="11.42578125" bestFit="1" customWidth="1"/>
    <col min="94" max="94" width="11.140625" style="129" customWidth="1"/>
    <col min="95" max="95" width="11.28515625" customWidth="1"/>
    <col min="97" max="97" width="9.140625" style="130"/>
  </cols>
  <sheetData>
    <row r="1" spans="1:1044" s="75" customFormat="1" ht="18.95" customHeight="1" x14ac:dyDescent="0.2">
      <c r="A1" s="44" t="s">
        <v>62</v>
      </c>
      <c r="B1" s="45"/>
      <c r="C1" s="46"/>
      <c r="D1" s="47"/>
      <c r="E1" s="47"/>
      <c r="F1" s="47"/>
      <c r="G1" s="47"/>
      <c r="H1" s="47"/>
      <c r="I1" s="47"/>
      <c r="J1" s="48"/>
      <c r="K1" s="49"/>
      <c r="L1" s="49"/>
      <c r="M1" s="50"/>
      <c r="N1" s="51"/>
      <c r="O1" s="52"/>
      <c r="P1" s="52"/>
      <c r="Q1" s="53" t="s">
        <v>63</v>
      </c>
      <c r="R1" s="49"/>
      <c r="S1" s="54"/>
      <c r="T1" s="54"/>
      <c r="U1" s="54"/>
      <c r="V1" s="55"/>
      <c r="W1" s="55"/>
      <c r="X1" s="56"/>
      <c r="Y1" s="56"/>
      <c r="Z1" s="54"/>
      <c r="AA1" s="57"/>
      <c r="AB1" s="58"/>
      <c r="AC1" s="50"/>
      <c r="AD1" s="58"/>
      <c r="AE1" s="54"/>
      <c r="AF1" s="59"/>
      <c r="AG1" s="59"/>
      <c r="AH1" s="60"/>
      <c r="AI1" s="60"/>
      <c r="AJ1" s="57"/>
      <c r="AK1" s="133" t="s">
        <v>64</v>
      </c>
      <c r="AL1" s="133"/>
      <c r="AM1" s="49"/>
      <c r="AN1" s="49"/>
      <c r="AO1" s="61" t="s">
        <v>65</v>
      </c>
      <c r="AP1" s="49"/>
      <c r="AQ1" s="49"/>
      <c r="AR1" s="55"/>
      <c r="AS1" s="49"/>
      <c r="AT1" s="49"/>
      <c r="AU1" s="55"/>
      <c r="AV1" s="49"/>
      <c r="AW1" s="49"/>
      <c r="AX1" s="55"/>
      <c r="AY1" s="49"/>
      <c r="AZ1" s="49"/>
      <c r="BA1" s="55"/>
      <c r="BB1" s="49"/>
      <c r="BC1" s="49"/>
      <c r="BD1" s="55"/>
      <c r="BE1" s="49"/>
      <c r="BF1" s="49"/>
      <c r="BG1" s="55"/>
      <c r="BH1" s="49"/>
      <c r="BI1" s="49"/>
      <c r="BJ1" s="55"/>
      <c r="BK1" s="49"/>
      <c r="BL1" s="49"/>
      <c r="BM1" s="55"/>
      <c r="BN1" s="49"/>
      <c r="BO1" s="49"/>
      <c r="BP1" s="55"/>
      <c r="BQ1" s="49"/>
      <c r="BR1" s="49"/>
      <c r="BS1" s="55"/>
      <c r="BT1" s="54"/>
      <c r="BU1" s="55"/>
      <c r="BV1" s="62"/>
      <c r="BW1" s="50"/>
      <c r="BX1" s="50"/>
      <c r="BY1" s="50"/>
      <c r="BZ1" s="63"/>
      <c r="CA1" s="55"/>
      <c r="CB1" s="49"/>
      <c r="CC1" s="49"/>
      <c r="CD1" s="55"/>
      <c r="CE1" s="49"/>
      <c r="CF1" s="49"/>
      <c r="CG1" s="55"/>
      <c r="CH1" s="55"/>
      <c r="CI1" s="55"/>
      <c r="CJ1" s="55"/>
      <c r="CK1" s="55"/>
      <c r="CL1" s="49"/>
      <c r="CM1" s="55"/>
      <c r="CN1" s="64"/>
      <c r="CO1" s="64"/>
      <c r="CP1" s="126"/>
      <c r="CQ1" s="64"/>
      <c r="CR1" s="64"/>
      <c r="CS1" s="64"/>
      <c r="CT1" s="64"/>
      <c r="CU1" s="64"/>
      <c r="CV1" s="65" t="s">
        <v>66</v>
      </c>
      <c r="CW1" s="49"/>
      <c r="CX1" s="49"/>
      <c r="CY1" s="49"/>
      <c r="CZ1" s="49"/>
      <c r="DA1" s="55"/>
      <c r="DB1" s="66" t="s">
        <v>67</v>
      </c>
      <c r="DC1" s="67"/>
      <c r="DD1" s="67"/>
      <c r="DE1" s="68"/>
      <c r="DF1" s="69"/>
      <c r="DG1" s="51"/>
      <c r="DH1" s="70" t="s">
        <v>68</v>
      </c>
      <c r="DI1" s="71">
        <v>7.0000000000000007E-2</v>
      </c>
      <c r="DJ1" s="72" t="s">
        <v>69</v>
      </c>
      <c r="DK1" s="70"/>
      <c r="DL1" s="70"/>
      <c r="DM1" s="71">
        <v>7.6</v>
      </c>
      <c r="DN1"/>
      <c r="DO1" s="73" t="s">
        <v>70</v>
      </c>
      <c r="DP1" s="74">
        <f>windcoeff*Vt*Vt*2.4</f>
        <v>9.7036799999999985</v>
      </c>
      <c r="DQ1" s="73" t="s">
        <v>71</v>
      </c>
      <c r="DR1" s="49">
        <v>0.13</v>
      </c>
      <c r="DS1" s="47"/>
    </row>
    <row r="2" spans="1:1044" s="75" customFormat="1" ht="17.25" customHeight="1" x14ac:dyDescent="0.2">
      <c r="A2" s="76"/>
      <c r="B2" s="45"/>
      <c r="C2" s="46"/>
      <c r="D2" s="47"/>
      <c r="E2" s="47"/>
      <c r="F2" s="47"/>
      <c r="G2" s="47"/>
      <c r="H2" s="47"/>
      <c r="I2" s="47"/>
      <c r="J2" s="48"/>
      <c r="K2" s="49"/>
      <c r="L2" s="49"/>
      <c r="M2" s="73"/>
      <c r="N2" s="51"/>
      <c r="O2" s="52"/>
      <c r="P2" s="52"/>
      <c r="Q2" s="67" t="s">
        <v>72</v>
      </c>
      <c r="R2" s="49"/>
      <c r="S2" s="54"/>
      <c r="T2" s="54"/>
      <c r="U2" s="54"/>
      <c r="V2" s="55"/>
      <c r="W2" s="55"/>
      <c r="X2" s="56"/>
      <c r="Y2" s="56"/>
      <c r="Z2" s="54"/>
      <c r="AA2" s="57"/>
      <c r="AB2" s="58"/>
      <c r="AC2" s="50"/>
      <c r="AD2" s="58"/>
      <c r="AE2" s="54"/>
      <c r="AF2" s="59"/>
      <c r="AG2" s="59"/>
      <c r="AH2" s="60"/>
      <c r="AI2" s="60"/>
      <c r="AJ2" s="77"/>
      <c r="AK2" s="100"/>
      <c r="AL2" s="100"/>
      <c r="AM2" s="49"/>
      <c r="AN2" s="49"/>
      <c r="AO2" s="61"/>
      <c r="AP2" s="49"/>
      <c r="AQ2" s="49"/>
      <c r="AR2" s="55"/>
      <c r="AS2" s="49"/>
      <c r="AT2" s="49"/>
      <c r="AU2" s="55"/>
      <c r="AV2" s="49"/>
      <c r="AW2" s="49"/>
      <c r="AX2" s="55"/>
      <c r="AY2" s="49"/>
      <c r="AZ2" s="49"/>
      <c r="BA2" s="55"/>
      <c r="BB2" s="49"/>
      <c r="BC2" s="49"/>
      <c r="BD2" s="55"/>
      <c r="BE2" s="49"/>
      <c r="BF2" s="49"/>
      <c r="BG2" s="55"/>
      <c r="BH2" s="49"/>
      <c r="BI2" s="49"/>
      <c r="BJ2" s="55"/>
      <c r="BK2" s="49"/>
      <c r="BL2" s="49"/>
      <c r="BM2" s="55"/>
      <c r="BN2" s="49"/>
      <c r="BO2" s="49"/>
      <c r="BP2" s="55"/>
      <c r="BQ2" s="49"/>
      <c r="BR2" s="49"/>
      <c r="BS2" s="55"/>
      <c r="BT2" s="54"/>
      <c r="BU2" s="55"/>
      <c r="BV2" s="62"/>
      <c r="BW2" s="50"/>
      <c r="BX2" s="50"/>
      <c r="BY2" s="50"/>
      <c r="BZ2" s="63"/>
      <c r="CA2" s="55"/>
      <c r="CB2" s="49"/>
      <c r="CC2" s="49"/>
      <c r="CD2" s="55"/>
      <c r="CE2" s="49"/>
      <c r="CF2" s="49"/>
      <c r="CG2" s="55"/>
      <c r="CH2" s="55"/>
      <c r="CI2" s="55"/>
      <c r="CJ2" s="55"/>
      <c r="CK2" s="55"/>
      <c r="CL2" s="49"/>
      <c r="CM2" s="55"/>
      <c r="CN2" s="64"/>
      <c r="CO2" s="64"/>
      <c r="CP2" s="126"/>
      <c r="CQ2" s="64"/>
      <c r="CR2" s="64"/>
      <c r="CS2" s="64"/>
      <c r="CT2" s="64"/>
      <c r="CU2" s="64"/>
      <c r="CV2" s="65"/>
      <c r="CW2" s="49"/>
      <c r="CX2" s="49"/>
      <c r="CY2" s="49"/>
      <c r="CZ2" s="49"/>
      <c r="DA2" s="55"/>
      <c r="DB2" s="66"/>
      <c r="DC2" s="67"/>
      <c r="DD2" s="67"/>
      <c r="DE2" s="68"/>
      <c r="DF2" s="69"/>
      <c r="DG2" s="51"/>
      <c r="DH2" s="70"/>
      <c r="DI2" s="71"/>
      <c r="DJ2" s="72"/>
      <c r="DK2" s="70"/>
      <c r="DL2" s="70"/>
      <c r="DM2" s="71"/>
      <c r="DN2"/>
      <c r="DO2" s="78"/>
      <c r="DP2" s="74"/>
      <c r="DQ2" s="73"/>
      <c r="DR2" s="49"/>
      <c r="DS2" s="47"/>
    </row>
    <row r="3" spans="1:1044" s="75" customFormat="1" ht="12.75" customHeight="1" x14ac:dyDescent="0.2">
      <c r="A3" s="79">
        <v>43624</v>
      </c>
      <c r="B3" s="45"/>
      <c r="C3" s="134" t="s">
        <v>73</v>
      </c>
      <c r="D3" s="134"/>
      <c r="E3" s="106"/>
      <c r="F3" s="106"/>
      <c r="G3" s="106"/>
      <c r="H3" s="106"/>
      <c r="I3" s="106"/>
      <c r="J3" s="48"/>
      <c r="K3" s="49"/>
      <c r="L3" s="49"/>
      <c r="M3" s="50"/>
      <c r="N3" s="80"/>
      <c r="O3" s="52"/>
      <c r="P3" s="52"/>
      <c r="Q3" s="55"/>
      <c r="R3" s="49"/>
      <c r="S3" s="54"/>
      <c r="T3" s="54"/>
      <c r="U3" s="54"/>
      <c r="V3" s="55"/>
      <c r="W3" s="55"/>
      <c r="X3" s="56"/>
      <c r="Y3" s="56"/>
      <c r="Z3" s="54"/>
      <c r="AA3" s="57"/>
      <c r="AB3" s="58"/>
      <c r="AC3" s="50"/>
      <c r="AD3" s="58"/>
      <c r="AE3" s="54"/>
      <c r="AF3" s="59"/>
      <c r="AG3" s="59"/>
      <c r="AH3" s="54"/>
      <c r="AI3" s="54"/>
      <c r="AJ3" s="81"/>
      <c r="AK3" s="61"/>
      <c r="AL3" s="61"/>
      <c r="AM3" s="61"/>
      <c r="AN3" s="49"/>
      <c r="AO3" s="50"/>
      <c r="AP3" s="49"/>
      <c r="AQ3" s="49"/>
      <c r="AR3" s="55"/>
      <c r="AS3" s="49"/>
      <c r="AT3" s="49"/>
      <c r="AU3" s="55"/>
      <c r="AV3" s="49"/>
      <c r="AW3" s="49"/>
      <c r="AX3" s="55"/>
      <c r="AY3" s="49"/>
      <c r="AZ3" s="49"/>
      <c r="BA3" s="55"/>
      <c r="BB3" s="49"/>
      <c r="BC3" s="49"/>
      <c r="BD3" s="55"/>
      <c r="BE3" s="49"/>
      <c r="BF3" s="49"/>
      <c r="BG3" s="55"/>
      <c r="BH3" s="49"/>
      <c r="BI3" s="49"/>
      <c r="BJ3" s="55"/>
      <c r="BK3" s="49"/>
      <c r="BL3" s="49"/>
      <c r="BM3" s="55"/>
      <c r="BN3" s="49"/>
      <c r="BO3" s="49"/>
      <c r="BP3" s="55"/>
      <c r="BQ3" s="49"/>
      <c r="BR3" s="49"/>
      <c r="BS3" s="55"/>
      <c r="BT3" s="54"/>
      <c r="BU3" s="55"/>
      <c r="BV3" s="55"/>
      <c r="BW3" s="50"/>
      <c r="BX3" s="50"/>
      <c r="BY3" s="50"/>
      <c r="BZ3" s="63"/>
      <c r="CA3" s="55"/>
      <c r="CB3" s="49"/>
      <c r="CC3" s="49"/>
      <c r="CD3" s="55"/>
      <c r="CE3" s="49"/>
      <c r="CF3" s="49"/>
      <c r="CG3" s="55"/>
      <c r="CH3" s="55"/>
      <c r="CI3" s="55"/>
      <c r="CJ3" s="55"/>
      <c r="CK3" s="55"/>
      <c r="CL3" s="49"/>
      <c r="CM3" s="55"/>
      <c r="CN3" s="64"/>
      <c r="CO3" s="64"/>
      <c r="CP3" s="126"/>
      <c r="CQ3" s="64"/>
      <c r="CR3" s="64"/>
      <c r="CS3" s="64"/>
      <c r="CT3" s="64"/>
      <c r="CU3" s="64"/>
      <c r="CV3" s="65"/>
      <c r="CW3" s="49"/>
      <c r="CX3" s="49"/>
      <c r="CY3" s="49"/>
      <c r="CZ3" s="49"/>
      <c r="DA3" s="55"/>
      <c r="DB3" s="67"/>
      <c r="DC3" s="67"/>
      <c r="DD3" s="67"/>
      <c r="DE3" s="67"/>
      <c r="DF3" s="55"/>
      <c r="DG3" s="82"/>
      <c r="DH3" s="83"/>
      <c r="DI3" s="83"/>
      <c r="DJ3" s="83"/>
      <c r="DK3" s="84"/>
      <c r="DL3" s="84"/>
      <c r="DM3" s="85"/>
      <c r="DN3"/>
      <c r="DO3" s="78"/>
      <c r="DP3" s="78"/>
      <c r="DQ3" s="51"/>
      <c r="DR3" s="49" t="s">
        <v>74</v>
      </c>
      <c r="DS3" s="101" t="s">
        <v>75</v>
      </c>
    </row>
    <row r="4" spans="1:1044" s="86" customFormat="1" ht="13.5" customHeight="1" x14ac:dyDescent="0.25">
      <c r="A4" s="86" t="s">
        <v>2</v>
      </c>
      <c r="B4" s="87" t="s">
        <v>76</v>
      </c>
      <c r="C4" s="135"/>
      <c r="D4" s="135"/>
      <c r="E4" s="107"/>
      <c r="F4" s="107"/>
      <c r="G4" s="107"/>
      <c r="H4" s="107"/>
      <c r="I4" s="107"/>
      <c r="J4" s="87" t="s">
        <v>77</v>
      </c>
      <c r="K4" s="87" t="s">
        <v>78</v>
      </c>
      <c r="L4" s="87" t="s">
        <v>79</v>
      </c>
      <c r="M4" s="55" t="s">
        <v>32</v>
      </c>
      <c r="N4" s="82" t="s">
        <v>80</v>
      </c>
      <c r="O4" s="59" t="s">
        <v>81</v>
      </c>
      <c r="P4" s="59" t="s">
        <v>81</v>
      </c>
      <c r="Q4" s="55" t="s">
        <v>82</v>
      </c>
      <c r="R4" s="87" t="s">
        <v>83</v>
      </c>
      <c r="S4" s="87" t="s">
        <v>84</v>
      </c>
      <c r="T4" s="87" t="s">
        <v>85</v>
      </c>
      <c r="U4" s="87" t="s">
        <v>193</v>
      </c>
      <c r="V4" s="55" t="s">
        <v>86</v>
      </c>
      <c r="W4" s="55" t="s">
        <v>87</v>
      </c>
      <c r="X4" s="56" t="s">
        <v>88</v>
      </c>
      <c r="Y4" s="56" t="s">
        <v>87</v>
      </c>
      <c r="Z4" s="87" t="s">
        <v>89</v>
      </c>
      <c r="AA4" s="57" t="s">
        <v>90</v>
      </c>
      <c r="AB4" s="87" t="s">
        <v>91</v>
      </c>
      <c r="AC4" s="55" t="s">
        <v>92</v>
      </c>
      <c r="AD4" s="87" t="s">
        <v>93</v>
      </c>
      <c r="AE4" s="87" t="s">
        <v>94</v>
      </c>
      <c r="AF4" s="59" t="s">
        <v>95</v>
      </c>
      <c r="AG4" s="59" t="s">
        <v>95</v>
      </c>
      <c r="AH4" s="87" t="s">
        <v>96</v>
      </c>
      <c r="AI4" s="87" t="s">
        <v>97</v>
      </c>
      <c r="AJ4" s="88" t="s">
        <v>98</v>
      </c>
      <c r="AK4" s="61"/>
      <c r="AL4" s="61"/>
      <c r="AM4" s="61" t="s">
        <v>99</v>
      </c>
      <c r="AN4" s="61" t="s">
        <v>100</v>
      </c>
      <c r="AO4" s="55" t="s">
        <v>101</v>
      </c>
      <c r="AP4" s="87" t="s">
        <v>99</v>
      </c>
      <c r="AQ4" s="61" t="s">
        <v>102</v>
      </c>
      <c r="AR4" s="55" t="s">
        <v>103</v>
      </c>
      <c r="AS4" s="87" t="s">
        <v>104</v>
      </c>
      <c r="AT4" s="87" t="s">
        <v>105</v>
      </c>
      <c r="AU4" s="55" t="s">
        <v>106</v>
      </c>
      <c r="AV4" s="87" t="s">
        <v>107</v>
      </c>
      <c r="AW4" s="87" t="s">
        <v>108</v>
      </c>
      <c r="AX4" s="55" t="s">
        <v>109</v>
      </c>
      <c r="AY4" s="87" t="s">
        <v>110</v>
      </c>
      <c r="AZ4" s="87" t="s">
        <v>111</v>
      </c>
      <c r="BA4" s="55" t="s">
        <v>112</v>
      </c>
      <c r="BB4" s="87" t="s">
        <v>113</v>
      </c>
      <c r="BC4" s="87" t="s">
        <v>114</v>
      </c>
      <c r="BD4" s="55" t="s">
        <v>115</v>
      </c>
      <c r="BE4" s="87" t="s">
        <v>116</v>
      </c>
      <c r="BF4" s="87" t="s">
        <v>117</v>
      </c>
      <c r="BG4" s="55" t="s">
        <v>118</v>
      </c>
      <c r="BH4" s="87" t="s">
        <v>119</v>
      </c>
      <c r="BI4" s="87" t="s">
        <v>120</v>
      </c>
      <c r="BJ4" s="55" t="s">
        <v>121</v>
      </c>
      <c r="BK4" s="61" t="s">
        <v>122</v>
      </c>
      <c r="BL4" s="61" t="s">
        <v>123</v>
      </c>
      <c r="BM4" s="55" t="s">
        <v>124</v>
      </c>
      <c r="BN4" s="87" t="s">
        <v>125</v>
      </c>
      <c r="BO4" s="87" t="s">
        <v>126</v>
      </c>
      <c r="BP4" s="55" t="s">
        <v>127</v>
      </c>
      <c r="BQ4" s="87" t="s">
        <v>128</v>
      </c>
      <c r="BR4" s="87" t="s">
        <v>129</v>
      </c>
      <c r="BS4" s="55" t="s">
        <v>130</v>
      </c>
      <c r="BT4" s="87" t="s">
        <v>131</v>
      </c>
      <c r="BU4" s="55" t="s">
        <v>132</v>
      </c>
      <c r="BV4" s="55" t="s">
        <v>133</v>
      </c>
      <c r="BW4" s="55" t="s">
        <v>134</v>
      </c>
      <c r="BX4" s="55" t="s">
        <v>135</v>
      </c>
      <c r="BY4" s="55" t="s">
        <v>196</v>
      </c>
      <c r="BZ4" s="61" t="s">
        <v>136</v>
      </c>
      <c r="CA4" s="55" t="s">
        <v>137</v>
      </c>
      <c r="CB4" s="87" t="s">
        <v>138</v>
      </c>
      <c r="CC4" s="87" t="s">
        <v>139</v>
      </c>
      <c r="CD4" s="55" t="s">
        <v>140</v>
      </c>
      <c r="CE4" s="87" t="s">
        <v>141</v>
      </c>
      <c r="CF4" s="87" t="s">
        <v>142</v>
      </c>
      <c r="CG4" s="55" t="s">
        <v>143</v>
      </c>
      <c r="CH4" s="55" t="s">
        <v>197</v>
      </c>
      <c r="CI4" s="55" t="s">
        <v>198</v>
      </c>
      <c r="CJ4" s="55" t="s">
        <v>199</v>
      </c>
      <c r="CK4" s="55" t="s">
        <v>85</v>
      </c>
      <c r="CL4" s="87" t="s">
        <v>144</v>
      </c>
      <c r="CM4" s="55" t="s">
        <v>145</v>
      </c>
      <c r="CN4" s="61" t="s">
        <v>146</v>
      </c>
      <c r="CO4" s="61" t="s">
        <v>7</v>
      </c>
      <c r="CP4" s="127" t="s">
        <v>147</v>
      </c>
      <c r="CQ4" s="61" t="s">
        <v>9</v>
      </c>
      <c r="CR4" s="61" t="s">
        <v>148</v>
      </c>
      <c r="CS4" s="61" t="s">
        <v>149</v>
      </c>
      <c r="CT4" s="61" t="s">
        <v>150</v>
      </c>
      <c r="CU4" s="61" t="s">
        <v>151</v>
      </c>
      <c r="CV4" s="87" t="s">
        <v>152</v>
      </c>
      <c r="CW4" s="87" t="s">
        <v>153</v>
      </c>
      <c r="CX4" s="87" t="s">
        <v>154</v>
      </c>
      <c r="CY4" s="87" t="s">
        <v>155</v>
      </c>
      <c r="CZ4" s="87" t="s">
        <v>156</v>
      </c>
      <c r="DA4" s="55" t="s">
        <v>157</v>
      </c>
      <c r="DB4" s="67" t="s">
        <v>158</v>
      </c>
      <c r="DC4" s="67" t="s">
        <v>159</v>
      </c>
      <c r="DD4" s="67" t="s">
        <v>160</v>
      </c>
      <c r="DE4" s="67" t="s">
        <v>161</v>
      </c>
      <c r="DF4" s="89" t="s">
        <v>162</v>
      </c>
      <c r="DG4" s="82" t="s">
        <v>163</v>
      </c>
      <c r="DH4" s="87" t="s">
        <v>164</v>
      </c>
      <c r="DI4" s="87" t="s">
        <v>165</v>
      </c>
      <c r="DJ4" s="87" t="s">
        <v>166</v>
      </c>
      <c r="DK4" s="82" t="s">
        <v>163</v>
      </c>
      <c r="DL4" s="82" t="s">
        <v>195</v>
      </c>
      <c r="DM4" s="85" t="s">
        <v>167</v>
      </c>
      <c r="DO4" s="90"/>
      <c r="DP4" s="90"/>
      <c r="DQ4" s="82" t="s">
        <v>168</v>
      </c>
      <c r="DR4" s="87" t="s">
        <v>169</v>
      </c>
      <c r="DS4" s="91" t="s">
        <v>170</v>
      </c>
    </row>
    <row r="5" spans="1:1044" s="86" customFormat="1" ht="24" customHeight="1" x14ac:dyDescent="0.2">
      <c r="B5" s="87"/>
      <c r="C5" s="102" t="s">
        <v>171</v>
      </c>
      <c r="D5" s="102" t="s">
        <v>172</v>
      </c>
      <c r="E5" s="107"/>
      <c r="F5" s="107"/>
      <c r="G5" s="107"/>
      <c r="H5" s="107"/>
      <c r="I5" s="107"/>
      <c r="K5" s="87"/>
      <c r="L5" s="87"/>
      <c r="M5" s="55" t="s">
        <v>173</v>
      </c>
      <c r="N5" s="82" t="s">
        <v>174</v>
      </c>
      <c r="O5" s="59" t="s">
        <v>175</v>
      </c>
      <c r="P5" s="59" t="s">
        <v>176</v>
      </c>
      <c r="Q5" s="92"/>
      <c r="R5" s="87"/>
      <c r="S5" s="87"/>
      <c r="T5" s="87"/>
      <c r="U5" s="87" t="s">
        <v>194</v>
      </c>
      <c r="V5" s="55"/>
      <c r="W5" s="55" t="s">
        <v>177</v>
      </c>
      <c r="X5" s="56" t="s">
        <v>178</v>
      </c>
      <c r="Y5" s="56" t="s">
        <v>179</v>
      </c>
      <c r="Z5" s="87"/>
      <c r="AA5" s="57" t="s">
        <v>180</v>
      </c>
      <c r="AB5" s="87"/>
      <c r="AC5" s="55" t="s">
        <v>181</v>
      </c>
      <c r="AD5" s="87"/>
      <c r="AE5" s="87"/>
      <c r="AF5" s="59" t="s">
        <v>175</v>
      </c>
      <c r="AG5" s="59" t="s">
        <v>176</v>
      </c>
      <c r="AH5" s="87"/>
      <c r="AI5" s="87"/>
      <c r="AJ5" s="88" t="s">
        <v>182</v>
      </c>
      <c r="AK5" s="91" t="s">
        <v>171</v>
      </c>
      <c r="AL5" s="91" t="s">
        <v>183</v>
      </c>
      <c r="AM5" s="61"/>
      <c r="AN5" s="61"/>
      <c r="AO5" s="55"/>
      <c r="AP5" s="87" t="s">
        <v>184</v>
      </c>
      <c r="AQ5" s="61"/>
      <c r="AR5" s="55"/>
      <c r="AS5" s="87"/>
      <c r="AT5" s="87"/>
      <c r="AU5" s="55"/>
      <c r="AV5" s="87"/>
      <c r="AW5" s="87"/>
      <c r="AX5" s="55"/>
      <c r="AY5" s="87"/>
      <c r="AZ5" s="87"/>
      <c r="BA5" s="55"/>
      <c r="BB5" s="87"/>
      <c r="BC5" s="87"/>
      <c r="BD5" s="55"/>
      <c r="BE5" s="87"/>
      <c r="BF5" s="87"/>
      <c r="BG5" s="55"/>
      <c r="BH5" s="87"/>
      <c r="BI5" s="87"/>
      <c r="BJ5" s="55"/>
      <c r="BK5" s="61"/>
      <c r="BL5" s="61"/>
      <c r="BM5" s="55"/>
      <c r="BN5" s="87"/>
      <c r="BO5" s="87"/>
      <c r="BP5" s="55"/>
      <c r="BQ5" s="87"/>
      <c r="BR5" s="87"/>
      <c r="BS5" s="55"/>
      <c r="BT5" s="87" t="s">
        <v>185</v>
      </c>
      <c r="BU5" s="55"/>
      <c r="BV5" s="55"/>
      <c r="BW5" s="55"/>
      <c r="BX5" s="55"/>
      <c r="BY5" s="55"/>
      <c r="BZ5" s="61"/>
      <c r="CA5" s="55"/>
      <c r="CB5" s="87"/>
      <c r="CC5" s="87"/>
      <c r="CD5" s="55"/>
      <c r="CE5" s="87"/>
      <c r="CF5" s="87"/>
      <c r="CG5" s="55"/>
      <c r="CH5" s="55"/>
      <c r="CI5" s="55"/>
      <c r="CJ5" s="55"/>
      <c r="CK5" s="55"/>
      <c r="CL5" s="87" t="s">
        <v>186</v>
      </c>
      <c r="CM5" s="55" t="s">
        <v>186</v>
      </c>
      <c r="CN5" s="61"/>
      <c r="CO5" s="61"/>
      <c r="CP5" s="127"/>
      <c r="CQ5" s="61"/>
      <c r="CR5" s="61"/>
      <c r="CS5" s="61"/>
      <c r="CT5" s="61"/>
      <c r="CU5" s="61"/>
      <c r="CV5" s="87"/>
      <c r="CW5" s="87"/>
      <c r="CX5" s="87"/>
      <c r="CY5" s="87"/>
      <c r="CZ5" s="87"/>
      <c r="DA5" s="55"/>
      <c r="DB5" s="67"/>
      <c r="DC5" s="67"/>
      <c r="DD5" s="67"/>
      <c r="DE5" s="67"/>
      <c r="DF5" s="55" t="s">
        <v>187</v>
      </c>
      <c r="DG5" s="82"/>
      <c r="DH5" s="87" t="s">
        <v>188</v>
      </c>
      <c r="DI5" s="87" t="s">
        <v>188</v>
      </c>
      <c r="DJ5" s="87" t="s">
        <v>188</v>
      </c>
      <c r="DK5" s="82" t="s">
        <v>188</v>
      </c>
      <c r="DL5" s="82" t="s">
        <v>188</v>
      </c>
      <c r="DM5" s="85"/>
      <c r="DO5" s="59" t="s">
        <v>189</v>
      </c>
      <c r="DP5" s="59" t="s">
        <v>190</v>
      </c>
      <c r="DQ5" s="82" t="s">
        <v>169</v>
      </c>
      <c r="DR5" s="83">
        <v>0.11</v>
      </c>
      <c r="DS5" s="91" t="s">
        <v>191</v>
      </c>
    </row>
    <row r="6" spans="1:1044" ht="12.75" customHeight="1" x14ac:dyDescent="0.2">
      <c r="A6" s="93" t="str">
        <f>type_1</f>
        <v>Test Nacra 20</v>
      </c>
      <c r="B6" s="94">
        <f>nr_of_crew_1</f>
        <v>2</v>
      </c>
      <c r="C6" s="109">
        <f>AK6*PowerFactor</f>
        <v>90.477447272060076</v>
      </c>
      <c r="D6" s="109">
        <f>AL6*PowerFactor*IF(crew=1,1.01,1)</f>
        <v>86.263610416111504</v>
      </c>
      <c r="E6" s="109"/>
      <c r="F6" s="109"/>
      <c r="G6" s="109"/>
      <c r="H6" s="109"/>
      <c r="I6" s="109"/>
      <c r="J6" s="95">
        <f>one_off_1</f>
        <v>0</v>
      </c>
      <c r="K6" s="94">
        <f>loa_1</f>
        <v>6.2</v>
      </c>
      <c r="L6" s="94">
        <f>ratedl_1</f>
        <v>6.2</v>
      </c>
      <c r="M6" s="96">
        <f>width_1</f>
        <v>3.2</v>
      </c>
      <c r="N6" s="97">
        <f>nr_trap_1</f>
        <v>2</v>
      </c>
      <c r="O6" s="97">
        <f>ws_ex_spi_1</f>
        <v>0</v>
      </c>
      <c r="P6" s="97">
        <f>ws_incl_spi_1</f>
        <v>192</v>
      </c>
      <c r="Q6" s="98">
        <f>corcb_1</f>
        <v>2.35</v>
      </c>
      <c r="R6" s="112">
        <f t="shared" ref="R6" si="0">marea+areaMast+mssam+mareNoDet</f>
        <v>21.065758333333335</v>
      </c>
      <c r="S6" s="112">
        <f t="shared" ref="S6" si="1">voorvlm1+voorllm2</f>
        <v>10.029999999999999</v>
      </c>
      <c r="T6" s="56">
        <f>CK6+DI6</f>
        <v>5.3178949444444434</v>
      </c>
      <c r="U6" s="112">
        <f>mastlength</f>
        <v>10.45</v>
      </c>
      <c r="V6" s="113">
        <f t="shared" ref="V6" si="2">IF(gs_1,gs_1*0.94,VlgNoDetails)</f>
        <v>6.9465999999999992</v>
      </c>
      <c r="W6" s="113"/>
      <c r="X6" s="112">
        <f t="shared" ref="X6" si="3">IF(e_sp,e_sp,(IF(mfoot,MAX(CZ6:DC6),IF(mainh1,mainh1,vlm*0.3))))</f>
        <v>2.395</v>
      </c>
      <c r="Y6" s="112">
        <f t="shared" ref="Y6" si="4">IF(circMast,circMast/2,0.16)+X6</f>
        <v>2.605</v>
      </c>
      <c r="Z6" s="112">
        <f t="shared" ref="Z6" si="5">msam/e^2</f>
        <v>3.104285400265006</v>
      </c>
      <c r="AA6" s="114">
        <f>IF(mainh1,(mainh1/X6)^0.7,IF(mfoot&lt;DB6,(mfoot/DB6)^0.7,1))</f>
        <v>1</v>
      </c>
      <c r="AB6" s="112">
        <f t="shared" ref="AB6" si="6">0.67*Z6^0.3*msam*AA6</f>
        <v>19.82624155105583</v>
      </c>
      <c r="AC6" s="113">
        <f t="shared" ref="AC6" si="7">IF(lpg,msag/lpg^2,0)</f>
        <v>2.3323077691524245</v>
      </c>
      <c r="AD6" s="112">
        <f t="shared" ref="AD6" si="8">IF(AC6,0.72*AC6^0.3*msag,IF(msag,0.9*msag,0))</f>
        <v>4.9363734482790109</v>
      </c>
      <c r="AE6" s="112">
        <f t="shared" ref="AE6" si="9">rsam+rsag+IF(rsascr,rsascr-jibred*rsag,rsas-jibred*rsag)</f>
        <v>28.302436451058568</v>
      </c>
      <c r="AF6" s="115">
        <f t="shared" ref="AF6" si="10">IF(wsex,wsex,wsin-6)+crew*(IF(AND(crew=1,msam+msag&gt;=11),75,IF(loa&lt;=4,65,IF(loa&lt;=4.8,70,75))))</f>
        <v>336</v>
      </c>
      <c r="AG6" s="115">
        <f t="shared" ref="AG6" si="11">IF(wsin,wsin,wsex+6)+crew*(IF(AND(crew=1,msam+msag&gt;=11),75,IF(loa&lt;=4,65,IF(loa&lt;=4.8,70,75))))</f>
        <v>342</v>
      </c>
      <c r="AH6" s="113">
        <f t="shared" ref="AH6" si="12">IF(sas,((sas)*0.15),IF(loa&lt;=4.87,IF(crew=1,14*0.15,17*0.15),IF(loa&lt;=5.8,IF(crew=1,17*0.15,21*0.15),IF(loa&lt;=6.71,IF(crew=1,20*0.15,25*0.15),0))))</f>
        <v>4.1815499999999997</v>
      </c>
      <c r="AI6" s="116">
        <f>IF(AND(ars&lt;0.75*(AND(ars&gt;0)),(sas/msam&gt;0.75)),(sas*(12/ars^1.1)*0.01),0)</f>
        <v>0</v>
      </c>
      <c r="AJ6" s="117">
        <f>IF(lb="no",1.04,(IF(lb="",1,(IF(lb=0,1,(MAX(0.891/(lb/rl)^0.06,0.95)))))))</f>
        <v>0.95</v>
      </c>
      <c r="AK6" s="118">
        <f t="shared" ref="AK6" si="13">100/(1.15*rl^0.3*(rsam+rsag)^0.4/rwex^0.325)*corcb</f>
        <v>87.66978087394412</v>
      </c>
      <c r="AL6" s="118">
        <f t="shared" ref="AL6" si="14">100/(1.15*rl^0.3*rsa^0.4/rwin^0.325)*corcb</f>
        <v>83.586706417955995</v>
      </c>
      <c r="AM6" s="110">
        <f>ms_1</f>
        <v>10.029999999999999</v>
      </c>
      <c r="AN6" s="111">
        <f>mh_1</f>
        <v>2.395</v>
      </c>
      <c r="AO6" s="113">
        <f t="shared" ref="AO6" si="15">AM6*AN6*0.5</f>
        <v>12.010924999999999</v>
      </c>
      <c r="AP6" s="94">
        <f>ms_1</f>
        <v>10.029999999999999</v>
      </c>
      <c r="AQ6" s="99">
        <f>mp_1</f>
        <v>0.14000000000000001</v>
      </c>
      <c r="AR6" s="113">
        <f t="shared" ref="AR6" si="16">AP6*AQ6*2/3</f>
        <v>0.93613333333333337</v>
      </c>
      <c r="AS6" s="95">
        <f>ms_2</f>
        <v>0</v>
      </c>
      <c r="AT6" s="95">
        <f>mp_2</f>
        <v>0</v>
      </c>
      <c r="AU6" s="113">
        <f t="shared" ref="AU6" si="17">AS6*AT6*2/3</f>
        <v>0</v>
      </c>
      <c r="AV6" s="94">
        <f>ms_3</f>
        <v>9.76</v>
      </c>
      <c r="AW6" s="94">
        <f>mh_3</f>
        <v>0.66</v>
      </c>
      <c r="AX6" s="113">
        <f t="shared" ref="AX6" si="18">AV6*AW6*0.5</f>
        <v>3.2208000000000001</v>
      </c>
      <c r="AY6" s="94">
        <f>ms_4</f>
        <v>4.62</v>
      </c>
      <c r="AZ6" s="94">
        <f>mh_4</f>
        <v>0.64</v>
      </c>
      <c r="BA6" s="113">
        <f t="shared" ref="BA6" si="19">AY6*AZ6*0.5</f>
        <v>1.4784000000000002</v>
      </c>
      <c r="BB6" s="94">
        <f>ms_5</f>
        <v>0</v>
      </c>
      <c r="BC6" s="94">
        <f>mp_5</f>
        <v>0</v>
      </c>
      <c r="BD6" s="113">
        <f t="shared" ref="BD6" si="20">BB6*BC6*2/3</f>
        <v>0</v>
      </c>
      <c r="BE6" s="94">
        <f>ms_6</f>
        <v>0</v>
      </c>
      <c r="BF6" s="94">
        <f>mp_6</f>
        <v>0</v>
      </c>
      <c r="BG6" s="113">
        <f t="shared" ref="BG6" si="21">BE6*BF6*2/3</f>
        <v>0</v>
      </c>
      <c r="BH6" s="95">
        <f>ms_7</f>
        <v>2.41</v>
      </c>
      <c r="BI6" s="95">
        <f>mh_7</f>
        <v>1</v>
      </c>
      <c r="BJ6" s="113">
        <f t="shared" ref="BJ6" si="22">BH6*BI6*0.5</f>
        <v>1.2050000000000001</v>
      </c>
      <c r="BK6" s="99">
        <f>ms_8</f>
        <v>2</v>
      </c>
      <c r="BL6" s="99">
        <f>mp_8</f>
        <v>1.4999999999999999E-2</v>
      </c>
      <c r="BM6" s="113">
        <f t="shared" ref="BM6" si="23">BK6*BL6*2/3</f>
        <v>0.02</v>
      </c>
      <c r="BN6" s="110"/>
      <c r="BO6" s="110"/>
      <c r="BP6" s="113">
        <f t="shared" ref="BP6" si="24">BN6*BO6*0.5</f>
        <v>0</v>
      </c>
      <c r="BQ6" s="110"/>
      <c r="BR6" s="110"/>
      <c r="BS6" s="113">
        <f t="shared" ref="BS6" si="25">BQ6*BR6*0.5</f>
        <v>0</v>
      </c>
      <c r="BT6" s="110"/>
      <c r="BU6" s="113">
        <f t="shared" ref="BU6" si="26">AO6+AR6+AU6+AX6+BA6+BD6+BG6+BJ6+BM6+BP6+BS6</f>
        <v>18.871258333333333</v>
      </c>
      <c r="BV6" s="119">
        <f>gs_11</f>
        <v>7.39</v>
      </c>
      <c r="BW6" s="96">
        <f>gh_1</f>
        <v>1.51</v>
      </c>
      <c r="BX6" s="113">
        <f t="shared" ref="BX6" si="27">BV6*BW6*0.5</f>
        <v>5.5794499999999996</v>
      </c>
      <c r="BY6" s="113">
        <f>BV6-CG6</f>
        <v>7.3315166666666665</v>
      </c>
      <c r="BZ6" s="99">
        <f>gp_1</f>
        <v>-5.0000000000000001E-3</v>
      </c>
      <c r="CA6" s="113">
        <f>BY6*BZ6*2/3</f>
        <v>-2.4438388888888888E-2</v>
      </c>
      <c r="CB6" s="95">
        <f>gs_2</f>
        <v>7.39</v>
      </c>
      <c r="CC6" s="95">
        <f>gp_2</f>
        <v>-0.06</v>
      </c>
      <c r="CD6" s="113">
        <f t="shared" ref="CD6" si="28">CB6*CC6*2/3</f>
        <v>-0.29559999999999997</v>
      </c>
      <c r="CE6" s="94">
        <f>gs_3</f>
        <v>1.595</v>
      </c>
      <c r="CF6" s="94">
        <f>gp_3</f>
        <v>5.5E-2</v>
      </c>
      <c r="CG6" s="113">
        <f t="shared" ref="CG6" si="29">CE6*CF6*2/3</f>
        <v>5.8483333333333332E-2</v>
      </c>
      <c r="CH6" s="113"/>
      <c r="CI6" s="113"/>
      <c r="CJ6" s="113">
        <f>CH6*CI6*0.5</f>
        <v>0</v>
      </c>
      <c r="CK6" s="53">
        <f>BX6+CA6+CD6+CG6</f>
        <v>5.3178949444444434</v>
      </c>
      <c r="CL6" s="94">
        <f>circ_mast_1</f>
        <v>0.42</v>
      </c>
      <c r="CM6" s="113">
        <f>mastlength*circMast*0.5</f>
        <v>2.1944999999999997</v>
      </c>
      <c r="CN6" s="114">
        <f>sail_number_1</f>
        <v>999999</v>
      </c>
      <c r="CO6" s="108" t="str">
        <f>sailor_1</f>
        <v>TestSailor</v>
      </c>
      <c r="CP6" s="128">
        <f>date_meas_1</f>
        <v>43623</v>
      </c>
      <c r="CQ6" s="110" t="str">
        <f>measurer_1</f>
        <v>TheMeasurer</v>
      </c>
      <c r="CR6" s="110">
        <f>mbutton_1</f>
        <v>111</v>
      </c>
      <c r="CS6" s="111">
        <f>gbutton_1</f>
        <v>222</v>
      </c>
      <c r="CT6" s="110">
        <f>spibutton_1</f>
        <v>333</v>
      </c>
      <c r="CU6" s="110">
        <f>hull_button_1</f>
        <v>444</v>
      </c>
      <c r="CV6" s="110"/>
      <c r="CW6" s="110"/>
      <c r="CX6" s="110"/>
      <c r="CY6" s="110"/>
      <c r="CZ6" s="110"/>
      <c r="DA6" s="53">
        <f>(CV6+4*CW6+2*CX6+4*CY6+CZ6)*AP6/12</f>
        <v>0</v>
      </c>
      <c r="DB6" s="96">
        <f>SF_1</f>
        <v>4.5199999999999996</v>
      </c>
      <c r="DC6" s="96">
        <f>sl_1_1</f>
        <v>9.8000000000000007</v>
      </c>
      <c r="DD6" s="96">
        <f>sl_2_1</f>
        <v>8.5</v>
      </c>
      <c r="DE6" s="96">
        <f>smg_1</f>
        <v>3.44</v>
      </c>
      <c r="DF6" s="120">
        <f t="shared" ref="DF6" si="30">IF(DB6,DE6/DB6,smg_sf_no_details)</f>
        <v>0.76106194690265494</v>
      </c>
      <c r="DG6" s="113">
        <f t="shared" ref="DG6" si="31">IF(DB6,DB6*(DC6+DD6)/4+(DE6-DB6/2)*(DC6+DD6)/3,sas_no_details)</f>
        <v>27.876999999999999</v>
      </c>
      <c r="DH6" s="95">
        <f>marenodet_1</f>
        <v>0</v>
      </c>
      <c r="DI6" s="95">
        <f>garenodet_1</f>
        <v>0</v>
      </c>
      <c r="DJ6" s="113"/>
      <c r="DK6" s="111">
        <f>SasNoDetail_1</f>
        <v>0</v>
      </c>
      <c r="DL6" s="111"/>
      <c r="DM6" s="110" t="str">
        <f>remarks</f>
        <v>Test</v>
      </c>
      <c r="DN6" s="110"/>
      <c r="DO6" s="121">
        <f t="shared" ref="DO6" si="32">((0.42*vlm+1)*msam+(0.33*vlg+1)*msag)*DynPress</f>
        <v>1235.4326769177458</v>
      </c>
      <c r="DP6" s="121">
        <f t="shared" ref="DP6" si="33">IF(wsex,0.5*wsex*width+(rwex-wsex)*width+trapeze*(rwex-wsex)/crew,0.5*(wsin-6)*width+(rwin-wsin)*width+trapeze*(rwin-wsin)/crew)</f>
        <v>927.6</v>
      </c>
      <c r="DQ6" s="122">
        <f t="shared" ref="DQ6" si="34">righting/heeling</f>
        <v>0.75083006733661051</v>
      </c>
      <c r="DR6" s="123">
        <f>IF((1/DQ6)^$DR$5&lt;1,1,(1/DQ6)^$DR$5)</f>
        <v>1.0320254752564393</v>
      </c>
      <c r="DS6" s="121"/>
      <c r="DT6" s="121"/>
      <c r="DU6" s="122"/>
      <c r="DV6" s="123"/>
      <c r="DW6" s="124"/>
      <c r="DX6" s="125"/>
      <c r="EL6" s="125"/>
      <c r="EP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  <c r="IU6" s="125"/>
      <c r="IV6" s="125"/>
      <c r="IW6" s="125"/>
      <c r="IX6" s="125"/>
      <c r="IY6" s="125"/>
      <c r="IZ6" s="125"/>
      <c r="JA6" s="125"/>
      <c r="JB6" s="125"/>
      <c r="JC6" s="125"/>
      <c r="JD6" s="125"/>
      <c r="JE6" s="125"/>
      <c r="JF6" s="125"/>
      <c r="JG6" s="125"/>
      <c r="JH6" s="125"/>
      <c r="JI6" s="125"/>
      <c r="JJ6" s="125"/>
      <c r="JK6" s="125"/>
      <c r="JL6" s="125"/>
      <c r="JM6" s="125"/>
      <c r="JN6" s="125"/>
      <c r="JO6" s="125"/>
      <c r="JP6" s="125"/>
      <c r="JQ6" s="125"/>
      <c r="JR6" s="125"/>
      <c r="JS6" s="125"/>
      <c r="JT6" s="125"/>
      <c r="JU6" s="125"/>
      <c r="JV6" s="125"/>
      <c r="JW6" s="125"/>
      <c r="JX6" s="125"/>
      <c r="JY6" s="125"/>
      <c r="JZ6" s="125"/>
      <c r="KA6" s="125"/>
      <c r="KB6" s="125"/>
      <c r="KC6" s="125"/>
      <c r="KD6" s="125"/>
      <c r="KE6" s="125"/>
      <c r="KF6" s="125"/>
      <c r="KG6" s="125"/>
      <c r="KH6" s="125"/>
      <c r="KI6" s="125"/>
      <c r="KJ6" s="125"/>
      <c r="KK6" s="125"/>
      <c r="KL6" s="125"/>
      <c r="KM6" s="125"/>
      <c r="KN6" s="125"/>
      <c r="KO6" s="125"/>
      <c r="KP6" s="125"/>
      <c r="KQ6" s="125"/>
      <c r="KR6" s="125"/>
      <c r="KS6" s="125"/>
      <c r="KT6" s="125"/>
      <c r="KU6" s="125"/>
      <c r="KV6" s="125"/>
      <c r="KW6" s="125"/>
      <c r="KX6" s="125"/>
      <c r="KY6" s="125"/>
      <c r="KZ6" s="125"/>
      <c r="LA6" s="125"/>
      <c r="LB6" s="125"/>
      <c r="LC6" s="125"/>
      <c r="LD6" s="125"/>
      <c r="LE6" s="125"/>
      <c r="LF6" s="125"/>
      <c r="LG6" s="125"/>
      <c r="LH6" s="125"/>
      <c r="LI6" s="125"/>
      <c r="LJ6" s="125"/>
      <c r="LK6" s="125"/>
      <c r="LL6" s="125"/>
      <c r="LM6" s="125"/>
      <c r="LN6" s="125"/>
      <c r="LO6" s="125"/>
      <c r="LP6" s="125"/>
      <c r="LQ6" s="125"/>
      <c r="LR6" s="125"/>
      <c r="LS6" s="125"/>
      <c r="LT6" s="125"/>
      <c r="LU6" s="125"/>
      <c r="LV6" s="125"/>
      <c r="LW6" s="125"/>
      <c r="LX6" s="125"/>
      <c r="LY6" s="125"/>
      <c r="LZ6" s="125"/>
      <c r="MA6" s="125"/>
      <c r="MB6" s="125"/>
      <c r="MC6" s="125"/>
      <c r="MD6" s="125"/>
      <c r="ME6" s="125"/>
      <c r="MF6" s="125"/>
      <c r="MG6" s="125"/>
      <c r="MH6" s="125"/>
      <c r="MI6" s="125"/>
      <c r="MJ6" s="125"/>
      <c r="MK6" s="125"/>
      <c r="ML6" s="125"/>
      <c r="MM6" s="125"/>
      <c r="MN6" s="125"/>
      <c r="MO6" s="125"/>
      <c r="MP6" s="125"/>
      <c r="MQ6" s="125"/>
      <c r="MR6" s="125"/>
      <c r="MS6" s="125"/>
      <c r="MT6" s="125"/>
      <c r="MU6" s="125"/>
      <c r="MV6" s="125"/>
      <c r="MW6" s="125"/>
      <c r="MX6" s="125"/>
      <c r="MY6" s="125"/>
      <c r="MZ6" s="125"/>
      <c r="NA6" s="125"/>
      <c r="NB6" s="125"/>
      <c r="NC6" s="125"/>
      <c r="ND6" s="125"/>
      <c r="NE6" s="125"/>
      <c r="NF6" s="125"/>
      <c r="NG6" s="125"/>
      <c r="NH6" s="125"/>
      <c r="NI6" s="125"/>
      <c r="NJ6" s="125"/>
      <c r="NK6" s="125"/>
      <c r="NL6" s="125"/>
      <c r="NM6" s="125"/>
      <c r="NN6" s="125"/>
      <c r="NO6" s="125"/>
      <c r="NP6" s="125"/>
      <c r="NQ6" s="125"/>
      <c r="NR6" s="125"/>
      <c r="NS6" s="125"/>
      <c r="NT6" s="125"/>
      <c r="NU6" s="125"/>
      <c r="NV6" s="125"/>
      <c r="NW6" s="125"/>
      <c r="NX6" s="125"/>
      <c r="NY6" s="125"/>
      <c r="NZ6" s="125"/>
      <c r="OA6" s="125"/>
      <c r="OB6" s="125"/>
      <c r="OC6" s="125"/>
      <c r="OD6" s="125"/>
      <c r="OE6" s="125"/>
      <c r="OF6" s="125"/>
      <c r="OG6" s="125"/>
      <c r="OH6" s="125"/>
      <c r="OI6" s="125"/>
      <c r="OJ6" s="125"/>
      <c r="OK6" s="125"/>
      <c r="OL6" s="125"/>
      <c r="OM6" s="125"/>
      <c r="ON6" s="125"/>
      <c r="OO6" s="125"/>
      <c r="OP6" s="125"/>
      <c r="OQ6" s="125"/>
      <c r="OR6" s="125"/>
      <c r="OS6" s="125"/>
      <c r="OT6" s="125"/>
      <c r="OU6" s="125"/>
      <c r="OV6" s="125"/>
      <c r="OW6" s="125"/>
      <c r="OX6" s="125"/>
      <c r="OY6" s="125"/>
      <c r="OZ6" s="125"/>
      <c r="PA6" s="125"/>
      <c r="PB6" s="125"/>
      <c r="PC6" s="125"/>
      <c r="PD6" s="125"/>
      <c r="PE6" s="125"/>
      <c r="PF6" s="125"/>
      <c r="PG6" s="125"/>
      <c r="PH6" s="125"/>
      <c r="PI6" s="125"/>
      <c r="PJ6" s="125"/>
      <c r="PK6" s="125"/>
      <c r="PL6" s="125"/>
      <c r="PM6" s="125"/>
      <c r="PN6" s="125"/>
      <c r="PO6" s="125"/>
      <c r="PP6" s="125"/>
      <c r="PQ6" s="125"/>
      <c r="PR6" s="125"/>
      <c r="PS6" s="125"/>
      <c r="PT6" s="125"/>
      <c r="PU6" s="125"/>
      <c r="PV6" s="125"/>
      <c r="PW6" s="125"/>
      <c r="PX6" s="125"/>
      <c r="PY6" s="125"/>
      <c r="PZ6" s="125"/>
      <c r="QA6" s="125"/>
      <c r="QB6" s="125"/>
      <c r="QC6" s="125"/>
      <c r="QD6" s="125"/>
      <c r="QE6" s="125"/>
      <c r="QF6" s="125"/>
      <c r="QG6" s="125"/>
      <c r="QH6" s="125"/>
      <c r="QI6" s="125"/>
      <c r="QJ6" s="125"/>
      <c r="QK6" s="125"/>
      <c r="QL6" s="125"/>
      <c r="QM6" s="125"/>
      <c r="QN6" s="125"/>
      <c r="QO6" s="125"/>
      <c r="QP6" s="125"/>
      <c r="QQ6" s="125"/>
      <c r="QR6" s="125"/>
      <c r="QS6" s="125"/>
      <c r="QT6" s="125"/>
      <c r="QU6" s="125"/>
      <c r="QV6" s="125"/>
      <c r="QW6" s="125"/>
      <c r="QX6" s="125"/>
      <c r="QY6" s="125"/>
      <c r="QZ6" s="125"/>
      <c r="RA6" s="125"/>
      <c r="RB6" s="125"/>
      <c r="RC6" s="125"/>
      <c r="RD6" s="125"/>
      <c r="RE6" s="125"/>
      <c r="RF6" s="125"/>
      <c r="RG6" s="125"/>
      <c r="RH6" s="125"/>
      <c r="RI6" s="125"/>
      <c r="RJ6" s="125"/>
      <c r="RK6" s="125"/>
      <c r="RL6" s="125"/>
      <c r="RM6" s="125"/>
      <c r="RN6" s="125"/>
      <c r="RO6" s="125"/>
      <c r="RP6" s="125"/>
      <c r="RQ6" s="125"/>
      <c r="RR6" s="125"/>
      <c r="RS6" s="125"/>
      <c r="RT6" s="125"/>
      <c r="RU6" s="125"/>
      <c r="RV6" s="125"/>
      <c r="RW6" s="125"/>
      <c r="RX6" s="125"/>
      <c r="RY6" s="125"/>
      <c r="RZ6" s="125"/>
      <c r="SA6" s="125"/>
      <c r="SB6" s="125"/>
      <c r="SC6" s="125"/>
      <c r="SD6" s="125"/>
      <c r="SE6" s="125"/>
      <c r="SF6" s="125"/>
      <c r="SG6" s="125"/>
      <c r="SH6" s="125"/>
      <c r="SI6" s="125"/>
      <c r="SJ6" s="125"/>
      <c r="SK6" s="125"/>
      <c r="SL6" s="125"/>
      <c r="SM6" s="125"/>
      <c r="SN6" s="125"/>
      <c r="SO6" s="125"/>
      <c r="SP6" s="125"/>
      <c r="SQ6" s="125"/>
      <c r="SR6" s="125"/>
      <c r="SS6" s="125"/>
      <c r="ST6" s="125"/>
      <c r="SU6" s="125"/>
      <c r="SV6" s="125"/>
      <c r="SW6" s="125"/>
      <c r="SX6" s="125"/>
      <c r="SY6" s="125"/>
      <c r="SZ6" s="125"/>
      <c r="TA6" s="125"/>
      <c r="TB6" s="125"/>
      <c r="TC6" s="125"/>
      <c r="TD6" s="125"/>
      <c r="TE6" s="125"/>
      <c r="TF6" s="125"/>
      <c r="TG6" s="125"/>
      <c r="TH6" s="125"/>
      <c r="TI6" s="125"/>
      <c r="TJ6" s="125"/>
      <c r="TK6" s="125"/>
      <c r="TL6" s="125"/>
      <c r="TM6" s="125"/>
      <c r="TN6" s="125"/>
      <c r="TO6" s="125"/>
      <c r="TP6" s="125"/>
      <c r="TQ6" s="125"/>
      <c r="TR6" s="125"/>
      <c r="TS6" s="125"/>
      <c r="TT6" s="125"/>
      <c r="TU6" s="125"/>
      <c r="TV6" s="125"/>
      <c r="TW6" s="125"/>
      <c r="TX6" s="125"/>
      <c r="TY6" s="125"/>
      <c r="TZ6" s="125"/>
      <c r="UA6" s="125"/>
      <c r="UB6" s="125"/>
      <c r="UC6" s="125"/>
      <c r="UD6" s="125"/>
      <c r="UE6" s="125"/>
      <c r="UF6" s="125"/>
      <c r="UG6" s="125"/>
      <c r="UH6" s="125"/>
      <c r="UI6" s="125"/>
      <c r="UJ6" s="125"/>
      <c r="UK6" s="125"/>
      <c r="UL6" s="125"/>
      <c r="UM6" s="125"/>
      <c r="UN6" s="125"/>
      <c r="UO6" s="125"/>
      <c r="UP6" s="125"/>
      <c r="UQ6" s="125"/>
      <c r="UR6" s="125"/>
      <c r="US6" s="125"/>
      <c r="UT6" s="125"/>
      <c r="UU6" s="125"/>
      <c r="UV6" s="125"/>
      <c r="UW6" s="125"/>
      <c r="UX6" s="125"/>
      <c r="UY6" s="125"/>
      <c r="UZ6" s="125"/>
      <c r="VA6" s="125"/>
      <c r="VB6" s="125"/>
      <c r="VC6" s="125"/>
      <c r="VD6" s="125"/>
      <c r="VE6" s="125"/>
      <c r="VF6" s="125"/>
      <c r="VG6" s="125"/>
      <c r="VH6" s="125"/>
      <c r="VI6" s="125"/>
      <c r="VJ6" s="125"/>
      <c r="VK6" s="125"/>
      <c r="VL6" s="125"/>
      <c r="VM6" s="125"/>
      <c r="VN6" s="125"/>
      <c r="VO6" s="125"/>
      <c r="VP6" s="125"/>
      <c r="VQ6" s="125"/>
      <c r="VR6" s="125"/>
      <c r="VS6" s="125"/>
      <c r="VT6" s="125"/>
      <c r="VU6" s="125"/>
      <c r="VV6" s="125"/>
      <c r="VW6" s="125"/>
      <c r="VX6" s="125"/>
      <c r="VY6" s="125"/>
      <c r="VZ6" s="125"/>
      <c r="WA6" s="125"/>
      <c r="WB6" s="125"/>
      <c r="WC6" s="125"/>
      <c r="WD6" s="125"/>
      <c r="WE6" s="125"/>
      <c r="WF6" s="125"/>
      <c r="WG6" s="125"/>
      <c r="WH6" s="125"/>
      <c r="WI6" s="125"/>
      <c r="WJ6" s="125"/>
      <c r="WK6" s="125"/>
      <c r="WL6" s="125"/>
      <c r="WM6" s="125"/>
      <c r="WN6" s="125"/>
      <c r="WO6" s="125"/>
      <c r="WP6" s="125"/>
      <c r="WQ6" s="125"/>
      <c r="WR6" s="125"/>
      <c r="WS6" s="125"/>
      <c r="WT6" s="125"/>
      <c r="WU6" s="125"/>
      <c r="WV6" s="125"/>
      <c r="WW6" s="125"/>
      <c r="WX6" s="125"/>
      <c r="WY6" s="125"/>
      <c r="WZ6" s="125"/>
      <c r="XA6" s="125"/>
      <c r="XB6" s="125"/>
      <c r="XC6" s="125"/>
      <c r="XD6" s="125"/>
      <c r="XE6" s="125"/>
      <c r="XF6" s="125"/>
      <c r="XG6" s="125"/>
      <c r="XH6" s="125"/>
      <c r="XI6" s="125"/>
      <c r="XJ6" s="125"/>
      <c r="XK6" s="125"/>
      <c r="XL6" s="125"/>
      <c r="XM6" s="125"/>
      <c r="XN6" s="125"/>
      <c r="XO6" s="125"/>
      <c r="XP6" s="125"/>
      <c r="XQ6" s="125"/>
      <c r="XR6" s="125"/>
      <c r="XS6" s="125"/>
      <c r="XT6" s="125"/>
      <c r="XU6" s="125"/>
      <c r="XV6" s="125"/>
      <c r="XW6" s="125"/>
      <c r="XX6" s="125"/>
      <c r="XY6" s="125"/>
      <c r="XZ6" s="125"/>
      <c r="YA6" s="125"/>
      <c r="YB6" s="125"/>
      <c r="YC6" s="125"/>
      <c r="YD6" s="125"/>
      <c r="YE6" s="125"/>
      <c r="YF6" s="125"/>
      <c r="YG6" s="125"/>
      <c r="YH6" s="125"/>
      <c r="YI6" s="125"/>
      <c r="YJ6" s="125"/>
      <c r="YK6" s="125"/>
      <c r="YL6" s="125"/>
      <c r="YM6" s="125"/>
      <c r="YN6" s="125"/>
      <c r="YO6" s="125"/>
      <c r="YP6" s="125"/>
      <c r="YQ6" s="125"/>
      <c r="YR6" s="125"/>
      <c r="YS6" s="125"/>
      <c r="YT6" s="125"/>
      <c r="YU6" s="125"/>
      <c r="YV6" s="125"/>
      <c r="YW6" s="125"/>
      <c r="YX6" s="125"/>
      <c r="YY6" s="125"/>
      <c r="YZ6" s="125"/>
      <c r="ZA6" s="125"/>
      <c r="ZB6" s="125"/>
      <c r="ZC6" s="125"/>
      <c r="ZD6" s="125"/>
      <c r="ZE6" s="125"/>
      <c r="ZF6" s="125"/>
      <c r="ZG6" s="125"/>
      <c r="ZH6" s="125"/>
      <c r="ZI6" s="125"/>
      <c r="ZJ6" s="125"/>
      <c r="ZK6" s="125"/>
      <c r="ZL6" s="125"/>
      <c r="ZM6" s="125"/>
      <c r="ZN6" s="125"/>
      <c r="ZO6" s="125"/>
      <c r="ZP6" s="125"/>
      <c r="ZQ6" s="125"/>
      <c r="ZR6" s="125"/>
      <c r="ZS6" s="125"/>
      <c r="ZT6" s="125"/>
      <c r="ZU6" s="125"/>
      <c r="ZV6" s="125"/>
      <c r="ZW6" s="125"/>
      <c r="ZX6" s="125"/>
      <c r="ZY6" s="125"/>
      <c r="ZZ6" s="125"/>
      <c r="AAA6" s="125"/>
      <c r="AAB6" s="125"/>
      <c r="AAC6" s="125"/>
      <c r="AAD6" s="125"/>
      <c r="AAE6" s="125"/>
      <c r="AAF6" s="125"/>
      <c r="AAG6" s="125"/>
      <c r="AAH6" s="125"/>
      <c r="AAI6" s="125"/>
      <c r="AAJ6" s="125"/>
      <c r="AAK6" s="125"/>
      <c r="AAL6" s="125"/>
      <c r="AAM6" s="125"/>
      <c r="AAN6" s="125"/>
      <c r="AAO6" s="125"/>
      <c r="AAP6" s="125"/>
      <c r="AAQ6" s="125"/>
      <c r="AAR6" s="125"/>
      <c r="AAS6" s="125"/>
      <c r="AAT6" s="125"/>
      <c r="AAU6" s="125"/>
      <c r="AAV6" s="125"/>
      <c r="AAW6" s="125"/>
      <c r="AAX6" s="125"/>
      <c r="AAY6" s="125"/>
      <c r="AAZ6" s="125"/>
      <c r="ABA6" s="125"/>
      <c r="ABB6" s="125"/>
      <c r="ABC6" s="125"/>
      <c r="ABD6" s="125"/>
      <c r="ABE6" s="125"/>
      <c r="ABF6" s="125"/>
      <c r="ABG6" s="125"/>
      <c r="ABH6" s="125"/>
      <c r="ABI6" s="125"/>
      <c r="ABJ6" s="125"/>
      <c r="ABK6" s="125"/>
      <c r="ABL6" s="125"/>
      <c r="ABM6" s="125"/>
      <c r="ABN6" s="125"/>
      <c r="ABO6" s="125"/>
      <c r="ABP6" s="125"/>
      <c r="ABQ6" s="125"/>
      <c r="ABR6" s="125"/>
      <c r="ABS6" s="125"/>
      <c r="ABT6" s="125"/>
      <c r="ABU6" s="125"/>
      <c r="ABV6" s="125"/>
      <c r="ABW6" s="125"/>
      <c r="ABX6" s="125"/>
      <c r="ABY6" s="125"/>
      <c r="ABZ6" s="125"/>
      <c r="ACA6" s="125"/>
      <c r="ACB6" s="125"/>
      <c r="ACC6" s="125"/>
      <c r="ACD6" s="125"/>
      <c r="ACE6" s="125"/>
      <c r="ACF6" s="125"/>
      <c r="ACG6" s="125"/>
      <c r="ACH6" s="125"/>
      <c r="ACI6" s="125"/>
      <c r="ACJ6" s="125"/>
      <c r="ACK6" s="125"/>
      <c r="ACL6" s="125"/>
      <c r="ACM6" s="125"/>
      <c r="ACN6" s="125"/>
      <c r="ACO6" s="125"/>
      <c r="ACP6" s="125"/>
      <c r="ACQ6" s="125"/>
      <c r="ACR6" s="125"/>
      <c r="ACS6" s="125"/>
      <c r="ACT6" s="125"/>
      <c r="ACU6" s="125"/>
      <c r="ACV6" s="125"/>
      <c r="ACW6" s="125"/>
      <c r="ACX6" s="125"/>
      <c r="ACY6" s="125"/>
      <c r="ACZ6" s="125"/>
      <c r="ADA6" s="125"/>
      <c r="ADB6" s="125"/>
      <c r="ADC6" s="125"/>
      <c r="ADD6" s="125"/>
      <c r="ADE6" s="125"/>
      <c r="ADF6" s="125"/>
      <c r="ADG6" s="125"/>
      <c r="ADH6" s="125"/>
      <c r="ADI6" s="125"/>
      <c r="ADJ6" s="125"/>
      <c r="ADK6" s="125"/>
      <c r="ADL6" s="125"/>
      <c r="ADM6" s="125"/>
      <c r="ADN6" s="125"/>
      <c r="ADO6" s="125"/>
      <c r="ADP6" s="125"/>
      <c r="ADQ6" s="125"/>
      <c r="ADR6" s="125"/>
      <c r="ADS6" s="125"/>
      <c r="ADT6" s="125"/>
      <c r="ADU6" s="125"/>
      <c r="ADV6" s="125"/>
      <c r="ADW6" s="125"/>
      <c r="ADX6" s="125"/>
      <c r="ADY6" s="125"/>
      <c r="ADZ6" s="125"/>
      <c r="AEA6" s="125"/>
      <c r="AEB6" s="125"/>
      <c r="AEC6" s="125"/>
      <c r="AED6" s="125"/>
      <c r="AEE6" s="125"/>
      <c r="AEF6" s="125"/>
      <c r="AEG6" s="125"/>
      <c r="AEH6" s="125"/>
      <c r="AEI6" s="125"/>
      <c r="AEJ6" s="125"/>
      <c r="AEK6" s="125"/>
      <c r="AEL6" s="125"/>
      <c r="AEM6" s="125"/>
      <c r="AEN6" s="125"/>
      <c r="AEO6" s="125"/>
      <c r="AEP6" s="125"/>
      <c r="AEQ6" s="125"/>
      <c r="AER6" s="125"/>
      <c r="AES6" s="125"/>
      <c r="AET6" s="125"/>
      <c r="AEU6" s="125"/>
      <c r="AEV6" s="125"/>
      <c r="AEW6" s="125"/>
      <c r="AEX6" s="125"/>
      <c r="AEY6" s="125"/>
      <c r="AEZ6" s="125"/>
      <c r="AFA6" s="125"/>
      <c r="AFB6" s="125"/>
      <c r="AFC6" s="125"/>
      <c r="AFD6" s="125"/>
      <c r="AFE6" s="125"/>
      <c r="AFF6" s="125"/>
      <c r="AFG6" s="125"/>
      <c r="AFH6" s="125"/>
      <c r="AFI6" s="125"/>
      <c r="AFJ6" s="125"/>
      <c r="AFK6" s="125"/>
      <c r="AFL6" s="125"/>
      <c r="AFM6" s="125"/>
      <c r="AFN6" s="125"/>
      <c r="AFO6" s="125"/>
      <c r="AFP6" s="125"/>
      <c r="AFQ6" s="125"/>
      <c r="AFR6" s="125"/>
      <c r="AFS6" s="125"/>
      <c r="AFT6" s="125"/>
      <c r="AFU6" s="125"/>
      <c r="AFV6" s="125"/>
      <c r="AFW6" s="125"/>
      <c r="AFX6" s="125"/>
      <c r="AFY6" s="125"/>
      <c r="AFZ6" s="125"/>
      <c r="AGA6" s="125"/>
      <c r="AGB6" s="125"/>
      <c r="AGC6" s="125"/>
      <c r="AGD6" s="125"/>
      <c r="AGE6" s="125"/>
      <c r="AGF6" s="125"/>
      <c r="AGG6" s="125"/>
      <c r="AGH6" s="125"/>
      <c r="AGI6" s="125"/>
      <c r="AGJ6" s="125"/>
      <c r="AGK6" s="125"/>
      <c r="AGL6" s="125"/>
      <c r="AGM6" s="125"/>
      <c r="AGN6" s="125"/>
      <c r="AGO6" s="125"/>
      <c r="AGP6" s="125"/>
      <c r="AGQ6" s="125"/>
      <c r="AGR6" s="125"/>
      <c r="AGS6" s="125"/>
      <c r="AGT6" s="125"/>
      <c r="AGU6" s="125"/>
      <c r="AGV6" s="125"/>
      <c r="AGW6" s="125"/>
      <c r="AGX6" s="125"/>
      <c r="AGY6" s="125"/>
      <c r="AGZ6" s="125"/>
      <c r="AHA6" s="125"/>
      <c r="AHB6" s="125"/>
      <c r="AHC6" s="125"/>
      <c r="AHD6" s="125"/>
      <c r="AHE6" s="125"/>
      <c r="AHF6" s="125"/>
      <c r="AHG6" s="125"/>
      <c r="AHH6" s="125"/>
      <c r="AHI6" s="125"/>
      <c r="AHJ6" s="125"/>
      <c r="AHK6" s="125"/>
      <c r="AHL6" s="125"/>
      <c r="AHM6" s="125"/>
      <c r="AHN6" s="125"/>
      <c r="AHO6" s="125"/>
      <c r="AHP6" s="125"/>
      <c r="AHQ6" s="125"/>
      <c r="AHR6" s="125"/>
      <c r="AHS6" s="125"/>
      <c r="AHT6" s="125"/>
      <c r="AHU6" s="125"/>
      <c r="AHV6" s="125"/>
      <c r="AHW6" s="125"/>
      <c r="AHX6" s="125"/>
      <c r="AHY6" s="125"/>
      <c r="AHZ6" s="125"/>
      <c r="AIA6" s="125"/>
      <c r="AIB6" s="125"/>
      <c r="AIC6" s="125"/>
      <c r="AID6" s="125"/>
      <c r="AIE6" s="125"/>
      <c r="AIF6" s="125"/>
      <c r="AIG6" s="125"/>
      <c r="AIH6" s="125"/>
      <c r="AII6" s="125"/>
      <c r="AIJ6" s="125"/>
      <c r="AIK6" s="125"/>
      <c r="AIL6" s="125"/>
      <c r="AIM6" s="125"/>
      <c r="AIN6" s="125"/>
      <c r="AIO6" s="125"/>
      <c r="AIP6" s="125"/>
      <c r="AIQ6" s="125"/>
      <c r="AIR6" s="125"/>
      <c r="AIS6" s="125"/>
      <c r="AIT6" s="125"/>
      <c r="AIU6" s="125"/>
      <c r="AIV6" s="125"/>
      <c r="AIW6" s="125"/>
      <c r="AIX6" s="125"/>
      <c r="AIY6" s="125"/>
      <c r="AIZ6" s="125"/>
      <c r="AJA6" s="125"/>
      <c r="AJB6" s="125"/>
      <c r="AJC6" s="125"/>
      <c r="AJD6" s="125"/>
      <c r="AJE6" s="125"/>
      <c r="AJF6" s="125"/>
      <c r="AJG6" s="125"/>
      <c r="AJH6" s="125"/>
      <c r="AJI6" s="125"/>
      <c r="AJJ6" s="125"/>
      <c r="AJK6" s="125"/>
      <c r="AJL6" s="125"/>
      <c r="AJM6" s="125"/>
      <c r="AJN6" s="125"/>
      <c r="AJO6" s="125"/>
      <c r="AJP6" s="125"/>
      <c r="AJQ6" s="125"/>
      <c r="AJR6" s="125"/>
      <c r="AJS6" s="125"/>
      <c r="AJT6" s="125"/>
      <c r="AJU6" s="125"/>
      <c r="AJV6" s="125"/>
      <c r="AJW6" s="125"/>
      <c r="AJX6" s="125"/>
      <c r="AJY6" s="125"/>
      <c r="AJZ6" s="125"/>
      <c r="AKA6" s="125"/>
      <c r="AKB6" s="125"/>
      <c r="AKC6" s="125"/>
      <c r="AKD6" s="125"/>
      <c r="AKE6" s="125"/>
      <c r="AKF6" s="125"/>
      <c r="AKG6" s="125"/>
      <c r="AKH6" s="125"/>
      <c r="AKI6" s="125"/>
      <c r="AKJ6" s="125"/>
      <c r="AKK6" s="125"/>
      <c r="AKL6" s="125"/>
      <c r="AKM6" s="125"/>
      <c r="AKN6" s="125"/>
      <c r="AKO6" s="125"/>
      <c r="AKP6" s="125"/>
      <c r="AKQ6" s="125"/>
      <c r="AKR6" s="125"/>
      <c r="AKS6" s="125"/>
      <c r="AKT6" s="125"/>
      <c r="AKU6" s="125"/>
      <c r="AKV6" s="125"/>
      <c r="AKW6" s="125"/>
      <c r="AKX6" s="125"/>
      <c r="AKY6" s="125"/>
      <c r="AKZ6" s="125"/>
      <c r="ALA6" s="125"/>
      <c r="ALB6" s="125"/>
      <c r="ALC6" s="125"/>
      <c r="ALD6" s="125"/>
      <c r="ALE6" s="125"/>
      <c r="ALF6" s="125"/>
      <c r="ALG6" s="125"/>
      <c r="ALH6" s="125"/>
      <c r="ALI6" s="125"/>
      <c r="ALJ6" s="125"/>
      <c r="ALK6" s="125"/>
      <c r="ALL6" s="125"/>
      <c r="ALM6" s="125"/>
      <c r="ALN6" s="125"/>
      <c r="ALO6" s="125"/>
      <c r="ALP6" s="125"/>
      <c r="ALQ6" s="125"/>
      <c r="ALR6" s="125"/>
      <c r="ALS6" s="125"/>
      <c r="ALT6" s="125"/>
      <c r="ALU6" s="125"/>
      <c r="ALV6" s="125"/>
      <c r="ALW6" s="125"/>
      <c r="ALX6" s="125"/>
      <c r="ALY6" s="125"/>
      <c r="ALZ6" s="125"/>
      <c r="AMA6" s="125"/>
      <c r="AMB6" s="125"/>
      <c r="AMC6" s="125"/>
      <c r="AMD6" s="125"/>
      <c r="AME6" s="125"/>
      <c r="AMF6" s="125"/>
      <c r="AMG6" s="125"/>
      <c r="AMH6" s="125"/>
      <c r="AMI6" s="125"/>
      <c r="AMJ6" s="125"/>
      <c r="AMK6" s="125"/>
      <c r="AML6" s="125"/>
      <c r="AMM6" s="125"/>
      <c r="AMN6" s="125"/>
      <c r="AMO6" s="125"/>
      <c r="AMP6" s="125"/>
      <c r="AMQ6" s="125"/>
      <c r="AMR6" s="125"/>
      <c r="AMS6" s="125"/>
      <c r="AMT6" s="125"/>
      <c r="AMU6" s="125"/>
      <c r="AMV6" s="125"/>
      <c r="AMW6" s="125"/>
      <c r="AMX6" s="125"/>
      <c r="AMY6" s="125"/>
      <c r="AMZ6" s="125"/>
      <c r="ANA6" s="125"/>
      <c r="ANB6" s="125"/>
      <c r="ANC6" s="125"/>
      <c r="AND6" s="125"/>
    </row>
  </sheetData>
  <mergeCells count="3">
    <mergeCell ref="AK1:AL1"/>
    <mergeCell ref="C3:D3"/>
    <mergeCell ref="C4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103</vt:i4>
      </vt:variant>
    </vt:vector>
  </HeadingPairs>
  <TitlesOfParts>
    <vt:vector size="105" baseType="lpstr">
      <vt:lpstr>input form</vt:lpstr>
      <vt:lpstr>data trtotal</vt:lpstr>
      <vt:lpstr>'input form'!Afdrukbereik</vt:lpstr>
      <vt:lpstr>areaMast</vt:lpstr>
      <vt:lpstr>ars</vt:lpstr>
      <vt:lpstr>circ_mast_1</vt:lpstr>
      <vt:lpstr>circMast</vt:lpstr>
      <vt:lpstr>corcb</vt:lpstr>
      <vt:lpstr>corcb_1</vt:lpstr>
      <vt:lpstr>crew</vt:lpstr>
      <vt:lpstr>date_meas_1</vt:lpstr>
      <vt:lpstr>DynPress</vt:lpstr>
      <vt:lpstr>e</vt:lpstr>
      <vt:lpstr>e_sp</vt:lpstr>
      <vt:lpstr>garenodet_1</vt:lpstr>
      <vt:lpstr>gbutton_1</vt:lpstr>
      <vt:lpstr>gh_1</vt:lpstr>
      <vt:lpstr>gp_1</vt:lpstr>
      <vt:lpstr>gp_2</vt:lpstr>
      <vt:lpstr>gp_3</vt:lpstr>
      <vt:lpstr>gs_1</vt:lpstr>
      <vt:lpstr>gs_11</vt:lpstr>
      <vt:lpstr>gs_2</vt:lpstr>
      <vt:lpstr>gs_3</vt:lpstr>
      <vt:lpstr>gs_4</vt:lpstr>
      <vt:lpstr>heeling</vt:lpstr>
      <vt:lpstr>hull_button_1</vt:lpstr>
      <vt:lpstr>jibred</vt:lpstr>
      <vt:lpstr>lb</vt:lpstr>
      <vt:lpstr>lb_1</vt:lpstr>
      <vt:lpstr>loa</vt:lpstr>
      <vt:lpstr>loa_1</vt:lpstr>
      <vt:lpstr>lpg</vt:lpstr>
      <vt:lpstr>mainh1</vt:lpstr>
      <vt:lpstr>marea</vt:lpstr>
      <vt:lpstr>mareNoDet</vt:lpstr>
      <vt:lpstr>marenodet_1</vt:lpstr>
      <vt:lpstr>mastlength</vt:lpstr>
      <vt:lpstr>mbutton_1</vt:lpstr>
      <vt:lpstr>measurer_1</vt:lpstr>
      <vt:lpstr>mfoot</vt:lpstr>
      <vt:lpstr>mh_1</vt:lpstr>
      <vt:lpstr>mh_3</vt:lpstr>
      <vt:lpstr>mh_4</vt:lpstr>
      <vt:lpstr>mh_7</vt:lpstr>
      <vt:lpstr>mp_1</vt:lpstr>
      <vt:lpstr>mp_2</vt:lpstr>
      <vt:lpstr>mp_5</vt:lpstr>
      <vt:lpstr>mp_6</vt:lpstr>
      <vt:lpstr>mp_8</vt:lpstr>
      <vt:lpstr>ms_1</vt:lpstr>
      <vt:lpstr>ms_2</vt:lpstr>
      <vt:lpstr>ms_3</vt:lpstr>
      <vt:lpstr>ms_4</vt:lpstr>
      <vt:lpstr>ms_5</vt:lpstr>
      <vt:lpstr>ms_6</vt:lpstr>
      <vt:lpstr>ms_7</vt:lpstr>
      <vt:lpstr>ms_8</vt:lpstr>
      <vt:lpstr>msag</vt:lpstr>
      <vt:lpstr>msagnodet_1</vt:lpstr>
      <vt:lpstr>msam</vt:lpstr>
      <vt:lpstr>msam_1</vt:lpstr>
      <vt:lpstr>mssam</vt:lpstr>
      <vt:lpstr>nr_of_crew_1</vt:lpstr>
      <vt:lpstr>nr_trap_1</vt:lpstr>
      <vt:lpstr>one_off_1</vt:lpstr>
      <vt:lpstr>PowerFactor</vt:lpstr>
      <vt:lpstr>ratedl_1</vt:lpstr>
      <vt:lpstr>remarks</vt:lpstr>
      <vt:lpstr>righting</vt:lpstr>
      <vt:lpstr>rl</vt:lpstr>
      <vt:lpstr>rsa</vt:lpstr>
      <vt:lpstr>rsag</vt:lpstr>
      <vt:lpstr>rsam</vt:lpstr>
      <vt:lpstr>rsas</vt:lpstr>
      <vt:lpstr>rsascr</vt:lpstr>
      <vt:lpstr>rwex</vt:lpstr>
      <vt:lpstr>rwin</vt:lpstr>
      <vt:lpstr>sail_number_1</vt:lpstr>
      <vt:lpstr>sailnumber_1</vt:lpstr>
      <vt:lpstr>sailor_1</vt:lpstr>
      <vt:lpstr>sas</vt:lpstr>
      <vt:lpstr>sas_no_details</vt:lpstr>
      <vt:lpstr>SasNoDetail_1</vt:lpstr>
      <vt:lpstr>SF_1</vt:lpstr>
      <vt:lpstr>sl_1_1</vt:lpstr>
      <vt:lpstr>sl_2_1</vt:lpstr>
      <vt:lpstr>smg_1</vt:lpstr>
      <vt:lpstr>smg_sf_no_details</vt:lpstr>
      <vt:lpstr>spibutton_1</vt:lpstr>
      <vt:lpstr>trapeze</vt:lpstr>
      <vt:lpstr>type_1</vt:lpstr>
      <vt:lpstr>vlg</vt:lpstr>
      <vt:lpstr>VlgNoDetails</vt:lpstr>
      <vt:lpstr>vlm</vt:lpstr>
      <vt:lpstr>voorllm2</vt:lpstr>
      <vt:lpstr>voorvlm1</vt:lpstr>
      <vt:lpstr>Vt</vt:lpstr>
      <vt:lpstr>width</vt:lpstr>
      <vt:lpstr>width_1</vt:lpstr>
      <vt:lpstr>windcoeff</vt:lpstr>
      <vt:lpstr>ws_ex_spi_1</vt:lpstr>
      <vt:lpstr>ws_incl_spi_1</vt:lpstr>
      <vt:lpstr>wsex</vt:lpstr>
      <vt:lpstr>wsin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ruesink</dc:creator>
  <cp:lastModifiedBy>g ruesink</cp:lastModifiedBy>
  <dcterms:created xsi:type="dcterms:W3CDTF">2016-02-21T18:13:36Z</dcterms:created>
  <dcterms:modified xsi:type="dcterms:W3CDTF">2019-06-13T15:32:13Z</dcterms:modified>
</cp:coreProperties>
</file>