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google\watersport\tr\2023\"/>
    </mc:Choice>
  </mc:AlternateContent>
  <xr:revisionPtr revIDLastSave="0" documentId="13_ncr:1_{23A7D7F2-C4AB-4915-8CE7-4081EE2CB061}" xr6:coauthVersionLast="47" xr6:coauthVersionMax="47" xr10:uidLastSave="{00000000-0000-0000-0000-000000000000}"/>
  <bookViews>
    <workbookView xWindow="-120" yWindow="-120" windowWidth="29040" windowHeight="15840" tabRatio="166" xr2:uid="{00000000-000D-0000-FFFF-FFFF00000000}"/>
  </bookViews>
  <sheets>
    <sheet name="TRTOTAL" sheetId="1" r:id="rId1"/>
  </sheets>
  <externalReferences>
    <externalReference r:id="rId2"/>
    <externalReference r:id="rId3"/>
    <externalReference r:id="rId4"/>
  </externalReferences>
  <definedNames>
    <definedName name="__xlnm_Print_Area">TRTOTAL!$BR$1:$BR$65441</definedName>
    <definedName name="_xlnm._FilterDatabase" localSheetId="0">TRTOTAL!$A$1:$D$295</definedName>
    <definedName name="_xlnm.Print_Area" localSheetId="0">TRTOTAL!$A$1:$T$299</definedName>
    <definedName name="areaMast">TRTOTAL!$CK$1:$CK$65441</definedName>
    <definedName name="ars">TRTOTAL!$DD:$DD</definedName>
    <definedName name="circ_mast_1">'[1]input form'!$B$18</definedName>
    <definedName name="circMast">TRTOTAL!$CJ$1:$CJ$65441</definedName>
    <definedName name="corcb">TRTOTAL!$AH:$AH</definedName>
    <definedName name="corcb_1">'[1]input form'!$B$16</definedName>
    <definedName name="crew">TRTOTAL!$B$1:$B$65441</definedName>
    <definedName name="DATA">TRTOTAL!$A$7:$DQ$299</definedName>
    <definedName name="date_meas_1">'[2]input form'!$B$5</definedName>
    <definedName name="Decksweeper">TRTOTAL!$DR:$DR</definedName>
    <definedName name="DynPress">TRTOTAL!$DN$1</definedName>
    <definedName name="e">TRTOTAL!$W$1:$W$65441</definedName>
    <definedName name="e_sp">TRTOTAL!$U$1:$U$65441</definedName>
    <definedName name="garenodet_1">'[1]input form'!$O$20</definedName>
    <definedName name="gbutton_1">'[2]input form'!$B$9</definedName>
    <definedName name="gh_1">'[1]input form'!$N$13</definedName>
    <definedName name="gp_1">'[1]input form'!$N$14</definedName>
    <definedName name="gp_2">'[1]input form'!$N$16</definedName>
    <definedName name="gp_3">'[1]input form'!$N$18</definedName>
    <definedName name="gs_1">TRTOTAL!$BT$1:$BT$65441</definedName>
    <definedName name="gs_11">'[1]input form'!$N$12</definedName>
    <definedName name="gs_2">'[1]input form'!$N$15</definedName>
    <definedName name="gs_3">'[1]input form'!$N$17</definedName>
    <definedName name="heeling">TRTOTAL!$DM$1:$DM$65441</definedName>
    <definedName name="hull_button_1">'[2]input form'!$B$11</definedName>
    <definedName name="internet">TRTOTAL!$A$1:$U$299</definedName>
    <definedName name="jibred">TRTOTAL!$DP$1</definedName>
    <definedName name="lb">TRTOTAL!$O$1:$O$65462</definedName>
    <definedName name="loa">TRTOTAL!$I:$I</definedName>
    <definedName name="loa_1">'[1]input form'!$B$14</definedName>
    <definedName name="lpg">TRTOTAL!$BU$1:$BU$65441</definedName>
    <definedName name="mainh1">TRTOTAL!$AL:$AL</definedName>
    <definedName name="marea">TRTOTAL!$BS$1:$BS$65441</definedName>
    <definedName name="mareNoDet">TRTOTAL!$DF$1:$DF$65441</definedName>
    <definedName name="marenodet_1">'[1]input form'!$C$43</definedName>
    <definedName name="MastLength">TRTOTAL!$S:$S</definedName>
    <definedName name="mbutton_1">'[2]input form'!$B$8</definedName>
    <definedName name="measurer_1">'[2]input form'!$B$7</definedName>
    <definedName name="mfoot">TRTOTAL!$CX$1:$CX$65441</definedName>
    <definedName name="mh_1">'[1]input form'!$B$26</definedName>
    <definedName name="mh_3">'[1]input form'!$B$31</definedName>
    <definedName name="mh_4">'[1]input form'!$B$33</definedName>
    <definedName name="mh_7">'[1]input form'!$B$39</definedName>
    <definedName name="mp_1">'[1]input form'!$B$27</definedName>
    <definedName name="mp_2">'[1]input form'!$B$29</definedName>
    <definedName name="mp_5">'[1]input form'!$B$35</definedName>
    <definedName name="mp_6">'[1]input form'!$B$37</definedName>
    <definedName name="mp_8">'[1]input form'!$B$41</definedName>
    <definedName name="ms_1">'[1]input form'!$B$25</definedName>
    <definedName name="ms_2">'[1]input form'!$B$28</definedName>
    <definedName name="ms_3">'[1]input form'!$B$30</definedName>
    <definedName name="ms_4">'[1]input form'!$B$32</definedName>
    <definedName name="ms_5">'[1]input form'!$B$34</definedName>
    <definedName name="ms_6">'[1]input form'!$B$36</definedName>
    <definedName name="ms_7">'[1]input form'!$B$38</definedName>
    <definedName name="ms_8">'[1]input form'!$B$40</definedName>
    <definedName name="msag">TRTOTAL!$R$1:$R$65441</definedName>
    <definedName name="msam">TRTOTAL!$P$1:$P$65441</definedName>
    <definedName name="mssam">TRTOTAL!$CY$1:$CY$65441</definedName>
    <definedName name="nr_of_crew_1">'[1]input form'!$B$4</definedName>
    <definedName name="nr_trap_1">'[1]input form'!$B$19</definedName>
    <definedName name="one_off_1">'[1]input form'!$B$13</definedName>
    <definedName name="PowerFactor">TRTOTAL!$DP$1:$DP$65441</definedName>
    <definedName name="ratedl_1">'[1]input form'!$B$15</definedName>
    <definedName name="remarks">'[2]input form'!$B$23</definedName>
    <definedName name="righting">TRTOTAL!$DN$1:$DN$65441</definedName>
    <definedName name="rl">TRTOTAL!$J:$J</definedName>
    <definedName name="rsa">TRTOTAL!$AC$1:$AC$65441</definedName>
    <definedName name="rsag">TRTOTAL!$AB$1:$AB$65441</definedName>
    <definedName name="rsam">TRTOTAL!$Z$1:$Z$65441</definedName>
    <definedName name="rsas">TRTOTAL!$AF$1:$AF$65441</definedName>
    <definedName name="rsascr">TRTOTAL!$AG$1:$AG$65441</definedName>
    <definedName name="rw">TRTOTAL!#REF!</definedName>
    <definedName name="rwex">TRTOTAL!$AD$1:$AD$65441</definedName>
    <definedName name="rwex_">TRTOTAL!$AA$1:$AA$65438</definedName>
    <definedName name="rwin">TRTOTAL!$AE$1:$AE$65441</definedName>
    <definedName name="sail_number_1">'[2]input form'!$B$12</definedName>
    <definedName name="sailor_1">'[2]input form'!$B$6</definedName>
    <definedName name="sas">TRTOTAL!$DE$1:$DE$65441</definedName>
    <definedName name="sas_no_details">TRTOTAL!$DI$1:$DI$65441</definedName>
    <definedName name="SasNoDetail_1">'[2]input form'!$O$45</definedName>
    <definedName name="SF_1">'[1]input form'!$N$39</definedName>
    <definedName name="sl_1_1">'[1]input form'!$N$37</definedName>
    <definedName name="sl_2_1">'[1]input form'!$N$38</definedName>
    <definedName name="smg_1">'[1]input form'!$N$40</definedName>
    <definedName name="smg_sf_no_details">TRTOTAL!$DJ:$DJ</definedName>
    <definedName name="spibutton_1">'[2]input form'!$B$10</definedName>
    <definedName name="stabfac">TRTOTAL!$DO$1:$DO$65441</definedName>
    <definedName name="test">TRTOTAL!$D$1:$D$65441</definedName>
    <definedName name="trapeze">TRTOTAL!$L$1:$L$65441</definedName>
    <definedName name="type_1">'[1]input form'!$B$3</definedName>
    <definedName name="vlg">TRTOTAL!$T$1:$T$65441</definedName>
    <definedName name="VlgNoDetails">TRTOTAL!$DH$1:$DH$65441</definedName>
    <definedName name="vlm">TRTOTAL!$Q$1:$Q$65441</definedName>
    <definedName name="voorllm2">TRTOTAL!$BR$1:$BR$65441</definedName>
    <definedName name="voorvlm1">TRTOTAL!$AN$1:$AN$65441</definedName>
    <definedName name="Vt">TRTOTAL!$DK$1</definedName>
    <definedName name="width">TRTOTAL!$K:$K</definedName>
    <definedName name="width_1">'[1]input form'!$B$17</definedName>
    <definedName name="windcoeff">TRTOTAL!$DG$1</definedName>
    <definedName name="ws_ex_spi_1">'[1]input form'!$B$20</definedName>
    <definedName name="ws_incl_spi_1">'[1]input form'!$B$21</definedName>
    <definedName name="wsex">TRTOTAL!$M:$M</definedName>
    <definedName name="wsin">TRTOTAL!$N$1:$N$65441</definedName>
    <definedName name="xx">TRTOTAL!$P$1:$P$65439</definedName>
  </definedNames>
  <calcPr calcId="181029"/>
</workbook>
</file>

<file path=xl/calcChain.xml><?xml version="1.0" encoding="utf-8"?>
<calcChain xmlns="http://schemas.openxmlformats.org/spreadsheetml/2006/main">
  <c r="DE188" i="1" l="1"/>
  <c r="AF188" i="1" s="1"/>
  <c r="DD188" i="1"/>
  <c r="CY188" i="1"/>
  <c r="CK188" i="1"/>
  <c r="CH188" i="1"/>
  <c r="CE188" i="1"/>
  <c r="CB188" i="1"/>
  <c r="BW188" i="1"/>
  <c r="BY188" i="1" s="1"/>
  <c r="BV188" i="1"/>
  <c r="BQ188" i="1"/>
  <c r="BN188" i="1"/>
  <c r="BK188" i="1"/>
  <c r="BH188" i="1"/>
  <c r="BE188" i="1"/>
  <c r="BB188" i="1"/>
  <c r="AY188" i="1"/>
  <c r="AV188" i="1"/>
  <c r="AS188" i="1"/>
  <c r="AP188" i="1"/>
  <c r="AM188" i="1"/>
  <c r="BS188" i="1" s="1"/>
  <c r="P188" i="1" s="1"/>
  <c r="AH188" i="1"/>
  <c r="V188" i="1"/>
  <c r="W188" i="1" s="1"/>
  <c r="T188" i="1"/>
  <c r="Q188" i="1"/>
  <c r="DR188" i="1" s="1"/>
  <c r="Y188" i="1" s="1"/>
  <c r="F188" i="1"/>
  <c r="E188" i="1"/>
  <c r="E291" i="1"/>
  <c r="F291" i="1"/>
  <c r="Q291" i="1"/>
  <c r="T291" i="1"/>
  <c r="E292" i="1"/>
  <c r="F292" i="1"/>
  <c r="Q292" i="1"/>
  <c r="T292" i="1"/>
  <c r="E293" i="1"/>
  <c r="F293" i="1"/>
  <c r="T293" i="1"/>
  <c r="E294" i="1"/>
  <c r="F294" i="1"/>
  <c r="Q294" i="1"/>
  <c r="T294" i="1"/>
  <c r="E295" i="1"/>
  <c r="F295" i="1"/>
  <c r="Q295" i="1"/>
  <c r="T295" i="1"/>
  <c r="E296" i="1"/>
  <c r="F296" i="1"/>
  <c r="Q296" i="1"/>
  <c r="T296" i="1"/>
  <c r="E297" i="1"/>
  <c r="F297" i="1"/>
  <c r="Q297" i="1"/>
  <c r="T297" i="1"/>
  <c r="E298" i="1"/>
  <c r="F298" i="1"/>
  <c r="Q298" i="1"/>
  <c r="T298" i="1"/>
  <c r="E299" i="1"/>
  <c r="F299" i="1"/>
  <c r="Q299" i="1"/>
  <c r="T299" i="1"/>
  <c r="X188" i="1" l="1"/>
  <c r="Z188" i="1" s="1"/>
  <c r="AE188" i="1"/>
  <c r="DN188" i="1" s="1"/>
  <c r="AD188" i="1"/>
  <c r="AG188" i="1"/>
  <c r="CI188" i="1"/>
  <c r="R188" i="1" s="1"/>
  <c r="AA188" i="1" s="1"/>
  <c r="AB188" i="1" s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24" i="1"/>
  <c r="Q27" i="1"/>
  <c r="Q10" i="1"/>
  <c r="AH7" i="1"/>
  <c r="AI188" i="1" l="1"/>
  <c r="AC188" i="1"/>
  <c r="AJ188" i="1" s="1"/>
  <c r="AH299" i="1"/>
  <c r="AH298" i="1"/>
  <c r="AH297" i="1"/>
  <c r="AH296" i="1"/>
  <c r="AH295" i="1"/>
  <c r="AH294" i="1"/>
  <c r="AH293" i="1"/>
  <c r="AH292" i="1"/>
  <c r="AH291" i="1"/>
  <c r="AH290" i="1"/>
  <c r="AH289" i="1"/>
  <c r="AH288" i="1"/>
  <c r="AH287" i="1"/>
  <c r="AH286" i="1"/>
  <c r="AH285" i="1"/>
  <c r="AH284" i="1"/>
  <c r="AH283" i="1"/>
  <c r="AH282" i="1"/>
  <c r="AH281" i="1"/>
  <c r="AH280" i="1"/>
  <c r="AH279" i="1"/>
  <c r="AH278" i="1"/>
  <c r="AH277" i="1"/>
  <c r="AH276" i="1"/>
  <c r="AH275" i="1"/>
  <c r="AH274" i="1"/>
  <c r="AH273" i="1"/>
  <c r="AH272" i="1"/>
  <c r="AH271" i="1"/>
  <c r="AH270" i="1"/>
  <c r="AH269" i="1"/>
  <c r="AH268" i="1"/>
  <c r="AH267" i="1"/>
  <c r="AH266" i="1"/>
  <c r="AH265" i="1"/>
  <c r="AH264" i="1"/>
  <c r="AH263" i="1"/>
  <c r="AH262" i="1"/>
  <c r="AH261" i="1"/>
  <c r="AH260" i="1"/>
  <c r="AH259" i="1"/>
  <c r="AH258" i="1"/>
  <c r="AH257" i="1"/>
  <c r="AH256" i="1"/>
  <c r="AH255" i="1"/>
  <c r="AH254" i="1"/>
  <c r="AH253" i="1"/>
  <c r="AH252" i="1"/>
  <c r="AH251" i="1"/>
  <c r="AH250" i="1"/>
  <c r="AH249" i="1"/>
  <c r="AH248" i="1"/>
  <c r="AH247" i="1"/>
  <c r="AH246" i="1"/>
  <c r="AH245" i="1"/>
  <c r="AH244" i="1"/>
  <c r="AH243" i="1"/>
  <c r="AH242" i="1"/>
  <c r="AH241" i="1"/>
  <c r="AH240" i="1"/>
  <c r="AH239" i="1"/>
  <c r="AH238" i="1"/>
  <c r="AH237" i="1"/>
  <c r="AH236" i="1"/>
  <c r="AH235" i="1"/>
  <c r="AH234" i="1"/>
  <c r="AH233" i="1"/>
  <c r="AH232" i="1"/>
  <c r="AH231" i="1"/>
  <c r="AH230" i="1"/>
  <c r="AH229" i="1"/>
  <c r="AH228" i="1"/>
  <c r="AH227" i="1"/>
  <c r="AH226" i="1"/>
  <c r="AH225" i="1"/>
  <c r="AH224" i="1"/>
  <c r="AH223" i="1"/>
  <c r="AH222" i="1"/>
  <c r="AH221" i="1"/>
  <c r="AH220" i="1"/>
  <c r="AH219" i="1"/>
  <c r="AH218" i="1"/>
  <c r="AH217" i="1"/>
  <c r="AH216" i="1"/>
  <c r="AH215" i="1"/>
  <c r="AH214" i="1"/>
  <c r="AH213" i="1"/>
  <c r="AH212" i="1"/>
  <c r="AH211" i="1"/>
  <c r="AH210" i="1"/>
  <c r="AH209" i="1"/>
  <c r="AH208" i="1"/>
  <c r="AH207" i="1"/>
  <c r="AH206" i="1"/>
  <c r="AH205" i="1"/>
  <c r="AH204" i="1"/>
  <c r="AH203" i="1"/>
  <c r="AH202" i="1"/>
  <c r="AH201" i="1"/>
  <c r="AH200" i="1"/>
  <c r="AH199" i="1"/>
  <c r="AH198" i="1"/>
  <c r="AH197" i="1"/>
  <c r="AH196" i="1"/>
  <c r="AH195" i="1"/>
  <c r="AH194" i="1"/>
  <c r="AH193" i="1"/>
  <c r="AH192" i="1"/>
  <c r="AH191" i="1"/>
  <c r="AH190" i="1"/>
  <c r="AH189" i="1"/>
  <c r="AH187" i="1"/>
  <c r="AH186" i="1"/>
  <c r="AH185" i="1"/>
  <c r="AH184" i="1"/>
  <c r="AH183" i="1"/>
  <c r="AH182" i="1"/>
  <c r="AH181" i="1"/>
  <c r="AH180" i="1"/>
  <c r="AH179" i="1"/>
  <c r="AH178" i="1"/>
  <c r="AH177" i="1"/>
  <c r="AH176" i="1"/>
  <c r="AH175" i="1"/>
  <c r="AH174" i="1"/>
  <c r="AH173" i="1"/>
  <c r="AH172" i="1"/>
  <c r="AH171" i="1"/>
  <c r="AH170" i="1"/>
  <c r="AH169" i="1"/>
  <c r="AH168" i="1"/>
  <c r="AH167" i="1"/>
  <c r="AH166" i="1"/>
  <c r="AH165" i="1"/>
  <c r="AH164" i="1"/>
  <c r="AH163" i="1"/>
  <c r="AH162" i="1"/>
  <c r="AH161" i="1"/>
  <c r="AH160" i="1"/>
  <c r="AH159" i="1"/>
  <c r="AH158" i="1"/>
  <c r="AH157" i="1"/>
  <c r="AH156" i="1"/>
  <c r="AH155" i="1"/>
  <c r="AH154" i="1"/>
  <c r="AH153" i="1"/>
  <c r="AH152" i="1"/>
  <c r="AH151" i="1"/>
  <c r="AH150" i="1"/>
  <c r="AH149" i="1"/>
  <c r="AH148" i="1"/>
  <c r="AH147" i="1"/>
  <c r="AH146" i="1"/>
  <c r="AH145" i="1"/>
  <c r="AH144" i="1"/>
  <c r="AH143" i="1"/>
  <c r="AH142" i="1"/>
  <c r="AH141" i="1"/>
  <c r="AH140" i="1"/>
  <c r="AH139" i="1"/>
  <c r="AH138" i="1"/>
  <c r="AH137" i="1"/>
  <c r="AH136" i="1"/>
  <c r="AH135" i="1"/>
  <c r="AH134" i="1"/>
  <c r="AH133" i="1"/>
  <c r="AH132" i="1"/>
  <c r="AH131" i="1"/>
  <c r="AH130" i="1"/>
  <c r="AH129" i="1"/>
  <c r="AH128" i="1"/>
  <c r="AH127" i="1"/>
  <c r="AH126" i="1"/>
  <c r="AH125" i="1"/>
  <c r="AH124" i="1"/>
  <c r="AH123" i="1"/>
  <c r="AH122" i="1"/>
  <c r="AH121" i="1"/>
  <c r="AH120" i="1"/>
  <c r="AH119" i="1"/>
  <c r="AH118" i="1"/>
  <c r="AH117" i="1"/>
  <c r="AH116" i="1"/>
  <c r="AH115" i="1"/>
  <c r="AH114" i="1"/>
  <c r="AH113" i="1"/>
  <c r="AH112" i="1"/>
  <c r="AH111" i="1"/>
  <c r="AH110" i="1"/>
  <c r="AH109" i="1"/>
  <c r="AH108" i="1"/>
  <c r="AH107" i="1"/>
  <c r="AH106" i="1"/>
  <c r="AH105" i="1"/>
  <c r="AH104" i="1"/>
  <c r="AH103" i="1"/>
  <c r="AH102" i="1"/>
  <c r="AH101" i="1"/>
  <c r="AH100" i="1"/>
  <c r="AH99" i="1"/>
  <c r="AH98" i="1"/>
  <c r="AH97" i="1"/>
  <c r="AH96" i="1"/>
  <c r="AH95" i="1"/>
  <c r="AH94" i="1"/>
  <c r="AH93" i="1"/>
  <c r="AH92" i="1"/>
  <c r="AH91" i="1"/>
  <c r="AH90" i="1"/>
  <c r="AH89" i="1"/>
  <c r="AH88" i="1"/>
  <c r="AH87" i="1"/>
  <c r="AH86" i="1"/>
  <c r="AH85" i="1"/>
  <c r="AH84" i="1"/>
  <c r="AH83" i="1"/>
  <c r="AH82" i="1"/>
  <c r="AH81" i="1"/>
  <c r="AH80" i="1"/>
  <c r="AH79" i="1"/>
  <c r="AH78" i="1"/>
  <c r="AH77" i="1"/>
  <c r="AH76" i="1"/>
  <c r="AH75" i="1"/>
  <c r="AH74" i="1"/>
  <c r="AH73" i="1"/>
  <c r="AH72" i="1"/>
  <c r="AH71" i="1"/>
  <c r="AH70" i="1"/>
  <c r="AH69" i="1"/>
  <c r="AH68" i="1"/>
  <c r="AH67" i="1"/>
  <c r="AH66" i="1"/>
  <c r="AH65" i="1"/>
  <c r="AH64" i="1"/>
  <c r="AH63" i="1"/>
  <c r="AH62" i="1"/>
  <c r="AH61" i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302" i="1"/>
  <c r="DE66" i="1" l="1"/>
  <c r="AF66" i="1" s="1"/>
  <c r="DD66" i="1"/>
  <c r="CY66" i="1"/>
  <c r="CK66" i="1"/>
  <c r="CH66" i="1"/>
  <c r="CE66" i="1"/>
  <c r="CB66" i="1"/>
  <c r="BW66" i="1"/>
  <c r="BY66" i="1" s="1"/>
  <c r="BV66" i="1"/>
  <c r="BQ66" i="1"/>
  <c r="BN66" i="1"/>
  <c r="BK66" i="1"/>
  <c r="BH66" i="1"/>
  <c r="BE66" i="1"/>
  <c r="BB66" i="1"/>
  <c r="AY66" i="1"/>
  <c r="AV66" i="1"/>
  <c r="AS66" i="1"/>
  <c r="AP66" i="1"/>
  <c r="AM66" i="1"/>
  <c r="AA66" i="1"/>
  <c r="V66" i="1"/>
  <c r="W66" i="1" s="1"/>
  <c r="T66" i="1"/>
  <c r="Q66" i="1"/>
  <c r="DR66" i="1" s="1"/>
  <c r="Y66" i="1" s="1"/>
  <c r="F66" i="1"/>
  <c r="E66" i="1"/>
  <c r="BS66" i="1" l="1"/>
  <c r="P66" i="1" s="1"/>
  <c r="X66" i="1" s="1"/>
  <c r="Z66" i="1" s="1"/>
  <c r="CI66" i="1"/>
  <c r="R66" i="1" s="1"/>
  <c r="DE88" i="1"/>
  <c r="DD88" i="1"/>
  <c r="CY88" i="1"/>
  <c r="CK88" i="1"/>
  <c r="CH88" i="1"/>
  <c r="CE88" i="1"/>
  <c r="CB88" i="1"/>
  <c r="BW88" i="1"/>
  <c r="BY88" i="1" s="1"/>
  <c r="BV88" i="1"/>
  <c r="BQ88" i="1"/>
  <c r="BN88" i="1"/>
  <c r="BK88" i="1"/>
  <c r="BH88" i="1"/>
  <c r="BE88" i="1"/>
  <c r="BB88" i="1"/>
  <c r="AY88" i="1"/>
  <c r="AV88" i="1"/>
  <c r="AS88" i="1"/>
  <c r="AP88" i="1"/>
  <c r="AM88" i="1"/>
  <c r="AH301" i="1"/>
  <c r="AH300" i="1"/>
  <c r="AD66" i="1" l="1"/>
  <c r="AG66" i="1"/>
  <c r="AB66" i="1"/>
  <c r="AE66" i="1"/>
  <c r="DN66" i="1" s="1"/>
  <c r="BS88" i="1"/>
  <c r="CI88" i="1"/>
  <c r="DE246" i="1"/>
  <c r="AF246" i="1" s="1"/>
  <c r="DD246" i="1"/>
  <c r="CY246" i="1"/>
  <c r="CK246" i="1"/>
  <c r="CH246" i="1"/>
  <c r="CE246" i="1"/>
  <c r="CB246" i="1"/>
  <c r="BW246" i="1"/>
  <c r="BY246" i="1" s="1"/>
  <c r="BV246" i="1"/>
  <c r="BQ246" i="1"/>
  <c r="BN246" i="1"/>
  <c r="BK246" i="1"/>
  <c r="BH246" i="1"/>
  <c r="BE246" i="1"/>
  <c r="BB246" i="1"/>
  <c r="AY246" i="1"/>
  <c r="AV246" i="1"/>
  <c r="AS246" i="1"/>
  <c r="AP246" i="1"/>
  <c r="AM246" i="1"/>
  <c r="AA246" i="1"/>
  <c r="V246" i="1"/>
  <c r="W246" i="1" s="1"/>
  <c r="T246" i="1"/>
  <c r="DR246" i="1"/>
  <c r="Y246" i="1" s="1"/>
  <c r="F246" i="1"/>
  <c r="E246" i="1"/>
  <c r="DE245" i="1"/>
  <c r="AF245" i="1" s="1"/>
  <c r="DD245" i="1"/>
  <c r="CY245" i="1"/>
  <c r="CK245" i="1"/>
  <c r="CH245" i="1"/>
  <c r="CE245" i="1"/>
  <c r="CB245" i="1"/>
  <c r="BW245" i="1"/>
  <c r="BY245" i="1" s="1"/>
  <c r="BV245" i="1"/>
  <c r="BQ245" i="1"/>
  <c r="BN245" i="1"/>
  <c r="BK245" i="1"/>
  <c r="BH245" i="1"/>
  <c r="BE245" i="1"/>
  <c r="BB245" i="1"/>
  <c r="AY245" i="1"/>
  <c r="AV245" i="1"/>
  <c r="AS245" i="1"/>
  <c r="AP245" i="1"/>
  <c r="AM245" i="1"/>
  <c r="AA245" i="1"/>
  <c r="V245" i="1"/>
  <c r="W245" i="1" s="1"/>
  <c r="T245" i="1"/>
  <c r="DR245" i="1"/>
  <c r="Y245" i="1" s="1"/>
  <c r="F245" i="1"/>
  <c r="E245" i="1"/>
  <c r="DE168" i="1"/>
  <c r="DD168" i="1"/>
  <c r="CY168" i="1"/>
  <c r="CK168" i="1"/>
  <c r="CH168" i="1"/>
  <c r="CE168" i="1"/>
  <c r="CB168" i="1"/>
  <c r="BW168" i="1"/>
  <c r="BY168" i="1" s="1"/>
  <c r="BV168" i="1"/>
  <c r="BQ168" i="1"/>
  <c r="BN168" i="1"/>
  <c r="BK168" i="1"/>
  <c r="BH168" i="1"/>
  <c r="BE168" i="1"/>
  <c r="BB168" i="1"/>
  <c r="AY168" i="1"/>
  <c r="AV168" i="1"/>
  <c r="AS168" i="1"/>
  <c r="AP168" i="1"/>
  <c r="AM168" i="1"/>
  <c r="AF168" i="1"/>
  <c r="AA168" i="1"/>
  <c r="V168" i="1"/>
  <c r="W168" i="1" s="1"/>
  <c r="T168" i="1"/>
  <c r="DR168" i="1"/>
  <c r="Y168" i="1" s="1"/>
  <c r="F168" i="1"/>
  <c r="E168" i="1"/>
  <c r="DE165" i="1"/>
  <c r="AF165" i="1" s="1"/>
  <c r="DD165" i="1"/>
  <c r="CY165" i="1"/>
  <c r="CK165" i="1"/>
  <c r="CH165" i="1"/>
  <c r="CE165" i="1"/>
  <c r="CB165" i="1"/>
  <c r="BW165" i="1"/>
  <c r="BY165" i="1" s="1"/>
  <c r="BV165" i="1"/>
  <c r="BQ165" i="1"/>
  <c r="BN165" i="1"/>
  <c r="BK165" i="1"/>
  <c r="BH165" i="1"/>
  <c r="BE165" i="1"/>
  <c r="BB165" i="1"/>
  <c r="AY165" i="1"/>
  <c r="AV165" i="1"/>
  <c r="AS165" i="1"/>
  <c r="AP165" i="1"/>
  <c r="AM165" i="1"/>
  <c r="AA165" i="1"/>
  <c r="V165" i="1"/>
  <c r="W165" i="1" s="1"/>
  <c r="T165" i="1"/>
  <c r="DR165" i="1"/>
  <c r="Y165" i="1" s="1"/>
  <c r="F165" i="1"/>
  <c r="E165" i="1"/>
  <c r="DE166" i="1"/>
  <c r="AF166" i="1" s="1"/>
  <c r="DD166" i="1"/>
  <c r="CY166" i="1"/>
  <c r="CK166" i="1"/>
  <c r="CH166" i="1"/>
  <c r="CE166" i="1"/>
  <c r="CB166" i="1"/>
  <c r="BW166" i="1"/>
  <c r="BY166" i="1" s="1"/>
  <c r="BV166" i="1"/>
  <c r="BQ166" i="1"/>
  <c r="BN166" i="1"/>
  <c r="BK166" i="1"/>
  <c r="BH166" i="1"/>
  <c r="BE166" i="1"/>
  <c r="BB166" i="1"/>
  <c r="AY166" i="1"/>
  <c r="AV166" i="1"/>
  <c r="AS166" i="1"/>
  <c r="AP166" i="1"/>
  <c r="AM166" i="1"/>
  <c r="AA166" i="1"/>
  <c r="V166" i="1"/>
  <c r="W166" i="1" s="1"/>
  <c r="T166" i="1"/>
  <c r="DR166" i="1"/>
  <c r="Y166" i="1" s="1"/>
  <c r="F166" i="1"/>
  <c r="E166" i="1"/>
  <c r="DE89" i="1"/>
  <c r="AF89" i="1" s="1"/>
  <c r="DD89" i="1"/>
  <c r="CY89" i="1"/>
  <c r="CK89" i="1"/>
  <c r="CH89" i="1"/>
  <c r="CE89" i="1"/>
  <c r="CB89" i="1"/>
  <c r="BW89" i="1"/>
  <c r="BY89" i="1" s="1"/>
  <c r="BV89" i="1"/>
  <c r="BQ89" i="1"/>
  <c r="BN89" i="1"/>
  <c r="BK89" i="1"/>
  <c r="BH89" i="1"/>
  <c r="BE89" i="1"/>
  <c r="BB89" i="1"/>
  <c r="AY89" i="1"/>
  <c r="AV89" i="1"/>
  <c r="AS89" i="1"/>
  <c r="AP89" i="1"/>
  <c r="AM89" i="1"/>
  <c r="AA89" i="1"/>
  <c r="V89" i="1"/>
  <c r="W89" i="1" s="1"/>
  <c r="T89" i="1"/>
  <c r="Q89" i="1"/>
  <c r="DR89" i="1" s="1"/>
  <c r="Y89" i="1" s="1"/>
  <c r="F89" i="1"/>
  <c r="E89" i="1"/>
  <c r="DE17" i="1"/>
  <c r="AF17" i="1" s="1"/>
  <c r="DD17" i="1"/>
  <c r="CY17" i="1"/>
  <c r="CK17" i="1"/>
  <c r="CH17" i="1"/>
  <c r="CE17" i="1"/>
  <c r="CB17" i="1"/>
  <c r="BW17" i="1"/>
  <c r="BY17" i="1" s="1"/>
  <c r="BV17" i="1"/>
  <c r="BQ17" i="1"/>
  <c r="BN17" i="1"/>
  <c r="BK17" i="1"/>
  <c r="BH17" i="1"/>
  <c r="BE17" i="1"/>
  <c r="BB17" i="1"/>
  <c r="AY17" i="1"/>
  <c r="AV17" i="1"/>
  <c r="AS17" i="1"/>
  <c r="AP17" i="1"/>
  <c r="AM17" i="1"/>
  <c r="AA17" i="1"/>
  <c r="V17" i="1"/>
  <c r="W17" i="1" s="1"/>
  <c r="T17" i="1"/>
  <c r="Q17" i="1"/>
  <c r="DR17" i="1" s="1"/>
  <c r="Y17" i="1" s="1"/>
  <c r="F17" i="1"/>
  <c r="E17" i="1"/>
  <c r="DE16" i="1"/>
  <c r="AF16" i="1" s="1"/>
  <c r="DD16" i="1"/>
  <c r="CY16" i="1"/>
  <c r="CK16" i="1"/>
  <c r="CH16" i="1"/>
  <c r="CE16" i="1"/>
  <c r="CB16" i="1"/>
  <c r="BW16" i="1"/>
  <c r="BY16" i="1" s="1"/>
  <c r="BV16" i="1"/>
  <c r="BQ16" i="1"/>
  <c r="BN16" i="1"/>
  <c r="BK16" i="1"/>
  <c r="BH16" i="1"/>
  <c r="BE16" i="1"/>
  <c r="BB16" i="1"/>
  <c r="AY16" i="1"/>
  <c r="AV16" i="1"/>
  <c r="AS16" i="1"/>
  <c r="AP16" i="1"/>
  <c r="AM16" i="1"/>
  <c r="AA16" i="1"/>
  <c r="V16" i="1"/>
  <c r="W16" i="1" s="1"/>
  <c r="T16" i="1"/>
  <c r="Q16" i="1"/>
  <c r="DR16" i="1" s="1"/>
  <c r="Y16" i="1" s="1"/>
  <c r="F16" i="1"/>
  <c r="E16" i="1"/>
  <c r="DE164" i="1"/>
  <c r="AF164" i="1" s="1"/>
  <c r="DD164" i="1"/>
  <c r="CY164" i="1"/>
  <c r="CK164" i="1"/>
  <c r="CH164" i="1"/>
  <c r="CE164" i="1"/>
  <c r="CB164" i="1"/>
  <c r="BW164" i="1"/>
  <c r="BY164" i="1" s="1"/>
  <c r="BV164" i="1"/>
  <c r="BQ164" i="1"/>
  <c r="BN164" i="1"/>
  <c r="BK164" i="1"/>
  <c r="BH164" i="1"/>
  <c r="BE164" i="1"/>
  <c r="BB164" i="1"/>
  <c r="AY164" i="1"/>
  <c r="AV164" i="1"/>
  <c r="AS164" i="1"/>
  <c r="AP164" i="1"/>
  <c r="AM164" i="1"/>
  <c r="AA164" i="1"/>
  <c r="V164" i="1"/>
  <c r="W164" i="1" s="1"/>
  <c r="T164" i="1"/>
  <c r="DR164" i="1"/>
  <c r="Y164" i="1" s="1"/>
  <c r="F164" i="1"/>
  <c r="E164" i="1"/>
  <c r="DE87" i="1"/>
  <c r="AF87" i="1" s="1"/>
  <c r="DD87" i="1"/>
  <c r="CY87" i="1"/>
  <c r="CK87" i="1"/>
  <c r="CH87" i="1"/>
  <c r="CE87" i="1"/>
  <c r="CB87" i="1"/>
  <c r="BW87" i="1"/>
  <c r="BY87" i="1" s="1"/>
  <c r="BV87" i="1"/>
  <c r="BQ87" i="1"/>
  <c r="BN87" i="1"/>
  <c r="BK87" i="1"/>
  <c r="BH87" i="1"/>
  <c r="BE87" i="1"/>
  <c r="BB87" i="1"/>
  <c r="AY87" i="1"/>
  <c r="AV87" i="1"/>
  <c r="AS87" i="1"/>
  <c r="AP87" i="1"/>
  <c r="AM87" i="1"/>
  <c r="AA87" i="1"/>
  <c r="V87" i="1"/>
  <c r="W87" i="1" s="1"/>
  <c r="T87" i="1"/>
  <c r="Q87" i="1"/>
  <c r="DR87" i="1" s="1"/>
  <c r="Y87" i="1" s="1"/>
  <c r="F87" i="1"/>
  <c r="E87" i="1"/>
  <c r="DE67" i="1"/>
  <c r="AF67" i="1" s="1"/>
  <c r="DD67" i="1"/>
  <c r="CY67" i="1"/>
  <c r="CK67" i="1"/>
  <c r="CH67" i="1"/>
  <c r="CE67" i="1"/>
  <c r="CB67" i="1"/>
  <c r="BW67" i="1"/>
  <c r="BY67" i="1" s="1"/>
  <c r="BV67" i="1"/>
  <c r="BQ67" i="1"/>
  <c r="BN67" i="1"/>
  <c r="BK67" i="1"/>
  <c r="BH67" i="1"/>
  <c r="BE67" i="1"/>
  <c r="BB67" i="1"/>
  <c r="AY67" i="1"/>
  <c r="AV67" i="1"/>
  <c r="AS67" i="1"/>
  <c r="AP67" i="1"/>
  <c r="AM67" i="1"/>
  <c r="AA67" i="1"/>
  <c r="V67" i="1"/>
  <c r="W67" i="1" s="1"/>
  <c r="T67" i="1"/>
  <c r="Q67" i="1"/>
  <c r="DR67" i="1" s="1"/>
  <c r="Y67" i="1" s="1"/>
  <c r="F67" i="1"/>
  <c r="E67" i="1"/>
  <c r="DE18" i="1"/>
  <c r="AF18" i="1" s="1"/>
  <c r="DD18" i="1"/>
  <c r="CY18" i="1"/>
  <c r="CK18" i="1"/>
  <c r="CH18" i="1"/>
  <c r="CE18" i="1"/>
  <c r="CB18" i="1"/>
  <c r="BW18" i="1"/>
  <c r="BY18" i="1" s="1"/>
  <c r="BV18" i="1"/>
  <c r="BQ18" i="1"/>
  <c r="BN18" i="1"/>
  <c r="BK18" i="1"/>
  <c r="BH18" i="1"/>
  <c r="BE18" i="1"/>
  <c r="BB18" i="1"/>
  <c r="AY18" i="1"/>
  <c r="AV18" i="1"/>
  <c r="AS18" i="1"/>
  <c r="AP18" i="1"/>
  <c r="AM18" i="1"/>
  <c r="AA18" i="1"/>
  <c r="V18" i="1"/>
  <c r="W18" i="1" s="1"/>
  <c r="T18" i="1"/>
  <c r="Q18" i="1"/>
  <c r="DR18" i="1" s="1"/>
  <c r="Y18" i="1" s="1"/>
  <c r="F18" i="1"/>
  <c r="E18" i="1"/>
  <c r="F76" i="1"/>
  <c r="E76" i="1"/>
  <c r="DE76" i="1"/>
  <c r="AF76" i="1" s="1"/>
  <c r="DD76" i="1"/>
  <c r="CY76" i="1"/>
  <c r="CK76" i="1"/>
  <c r="CH76" i="1"/>
  <c r="CE76" i="1"/>
  <c r="CB76" i="1"/>
  <c r="BW76" i="1"/>
  <c r="BY76" i="1" s="1"/>
  <c r="BV76" i="1"/>
  <c r="BQ76" i="1"/>
  <c r="BN76" i="1"/>
  <c r="BK76" i="1"/>
  <c r="BH76" i="1"/>
  <c r="BE76" i="1"/>
  <c r="BB76" i="1"/>
  <c r="AY76" i="1"/>
  <c r="AV76" i="1"/>
  <c r="AS76" i="1"/>
  <c r="AP76" i="1"/>
  <c r="AM76" i="1"/>
  <c r="AA76" i="1"/>
  <c r="V76" i="1"/>
  <c r="W76" i="1" s="1"/>
  <c r="T76" i="1"/>
  <c r="Q76" i="1"/>
  <c r="DR76" i="1" s="1"/>
  <c r="Y76" i="1" s="1"/>
  <c r="AI66" i="1" l="1"/>
  <c r="AC66" i="1"/>
  <c r="AJ66" i="1" s="1"/>
  <c r="BS246" i="1"/>
  <c r="P246" i="1" s="1"/>
  <c r="X246" i="1" s="1"/>
  <c r="Z246" i="1" s="1"/>
  <c r="CI245" i="1"/>
  <c r="R245" i="1" s="1"/>
  <c r="AB245" i="1" s="1"/>
  <c r="BS168" i="1"/>
  <c r="P168" i="1" s="1"/>
  <c r="AG168" i="1" s="1"/>
  <c r="BS245" i="1"/>
  <c r="P245" i="1" s="1"/>
  <c r="CI246" i="1"/>
  <c r="R246" i="1" s="1"/>
  <c r="AB246" i="1" s="1"/>
  <c r="CI168" i="1"/>
  <c r="R168" i="1" s="1"/>
  <c r="AB168" i="1" s="1"/>
  <c r="CI165" i="1"/>
  <c r="R165" i="1" s="1"/>
  <c r="AB165" i="1" s="1"/>
  <c r="BS166" i="1"/>
  <c r="P166" i="1" s="1"/>
  <c r="BS165" i="1"/>
  <c r="P165" i="1" s="1"/>
  <c r="X165" i="1" s="1"/>
  <c r="CI166" i="1"/>
  <c r="R166" i="1" s="1"/>
  <c r="AB166" i="1" s="1"/>
  <c r="BS89" i="1"/>
  <c r="P89" i="1" s="1"/>
  <c r="CI89" i="1"/>
  <c r="R89" i="1" s="1"/>
  <c r="AB89" i="1" s="1"/>
  <c r="BS16" i="1"/>
  <c r="P16" i="1" s="1"/>
  <c r="BS17" i="1"/>
  <c r="P17" i="1" s="1"/>
  <c r="CI17" i="1"/>
  <c r="R17" i="1" s="1"/>
  <c r="AB17" i="1" s="1"/>
  <c r="CI16" i="1"/>
  <c r="R16" i="1" s="1"/>
  <c r="AB16" i="1" s="1"/>
  <c r="BS164" i="1"/>
  <c r="P164" i="1" s="1"/>
  <c r="CI164" i="1"/>
  <c r="R164" i="1" s="1"/>
  <c r="BS87" i="1"/>
  <c r="P87" i="1" s="1"/>
  <c r="CI87" i="1"/>
  <c r="R87" i="1" s="1"/>
  <c r="AB87" i="1" s="1"/>
  <c r="BS67" i="1"/>
  <c r="P67" i="1" s="1"/>
  <c r="CI67" i="1"/>
  <c r="R67" i="1" s="1"/>
  <c r="AB67" i="1" s="1"/>
  <c r="BS18" i="1"/>
  <c r="P18" i="1" s="1"/>
  <c r="CI18" i="1"/>
  <c r="R18" i="1" s="1"/>
  <c r="AB18" i="1" s="1"/>
  <c r="BS76" i="1"/>
  <c r="P76" i="1" s="1"/>
  <c r="CI76" i="1"/>
  <c r="R76" i="1" s="1"/>
  <c r="AB76" i="1" s="1"/>
  <c r="X67" i="1" l="1"/>
  <c r="Z67" i="1" s="1"/>
  <c r="X16" i="1"/>
  <c r="Z16" i="1" s="1"/>
  <c r="X245" i="1"/>
  <c r="Z245" i="1" s="1"/>
  <c r="AG166" i="1"/>
  <c r="X166" i="1"/>
  <c r="Z166" i="1" s="1"/>
  <c r="X87" i="1"/>
  <c r="Z87" i="1" s="1"/>
  <c r="X89" i="1"/>
  <c r="Z89" i="1" s="1"/>
  <c r="AG246" i="1"/>
  <c r="AC246" i="1" s="1"/>
  <c r="X76" i="1"/>
  <c r="Z76" i="1" s="1"/>
  <c r="AG164" i="1"/>
  <c r="X164" i="1"/>
  <c r="X168" i="1"/>
  <c r="Z168" i="1" s="1"/>
  <c r="AC168" i="1" s="1"/>
  <c r="X18" i="1"/>
  <c r="Z18" i="1" s="1"/>
  <c r="X17" i="1"/>
  <c r="Z17" i="1" s="1"/>
  <c r="AD245" i="1"/>
  <c r="AE245" i="1"/>
  <c r="DN245" i="1" s="1"/>
  <c r="AG245" i="1"/>
  <c r="AE168" i="1"/>
  <c r="DN168" i="1" s="1"/>
  <c r="AE246" i="1"/>
  <c r="DN246" i="1" s="1"/>
  <c r="AD246" i="1"/>
  <c r="AI246" i="1" s="1"/>
  <c r="AD168" i="1"/>
  <c r="AE165" i="1"/>
  <c r="DN165" i="1" s="1"/>
  <c r="AG17" i="1"/>
  <c r="AD165" i="1"/>
  <c r="AG165" i="1"/>
  <c r="AD166" i="1"/>
  <c r="Z165" i="1"/>
  <c r="AG89" i="1"/>
  <c r="AE166" i="1"/>
  <c r="DN166" i="1" s="1"/>
  <c r="AG16" i="1"/>
  <c r="AD17" i="1"/>
  <c r="AE89" i="1"/>
  <c r="DN89" i="1" s="1"/>
  <c r="AE17" i="1"/>
  <c r="DN17" i="1" s="1"/>
  <c r="AD89" i="1"/>
  <c r="Z164" i="1"/>
  <c r="AD16" i="1"/>
  <c r="AE16" i="1"/>
  <c r="DN16" i="1" s="1"/>
  <c r="AE164" i="1"/>
  <c r="DN164" i="1" s="1"/>
  <c r="AD164" i="1"/>
  <c r="AB164" i="1"/>
  <c r="AG87" i="1"/>
  <c r="AD87" i="1"/>
  <c r="AE87" i="1"/>
  <c r="DN87" i="1" s="1"/>
  <c r="AG67" i="1"/>
  <c r="AD67" i="1"/>
  <c r="AG18" i="1"/>
  <c r="AE67" i="1"/>
  <c r="DN67" i="1" s="1"/>
  <c r="AG76" i="1"/>
  <c r="AE76" i="1"/>
  <c r="DN76" i="1" s="1"/>
  <c r="AD18" i="1"/>
  <c r="AE18" i="1"/>
  <c r="DN18" i="1" s="1"/>
  <c r="AD76" i="1"/>
  <c r="AI168" i="1" l="1"/>
  <c r="AI76" i="1"/>
  <c r="AC76" i="1"/>
  <c r="AJ76" i="1" s="1"/>
  <c r="AI16" i="1"/>
  <c r="AC89" i="1"/>
  <c r="AJ89" i="1" s="1"/>
  <c r="AI245" i="1"/>
  <c r="AI18" i="1"/>
  <c r="AC18" i="1"/>
  <c r="AJ18" i="1" s="1"/>
  <c r="AI87" i="1"/>
  <c r="AI89" i="1"/>
  <c r="AC16" i="1"/>
  <c r="AJ16" i="1" s="1"/>
  <c r="AC17" i="1"/>
  <c r="AJ17" i="1" s="1"/>
  <c r="AC67" i="1"/>
  <c r="AJ67" i="1" s="1"/>
  <c r="AI17" i="1"/>
  <c r="AI67" i="1"/>
  <c r="AC87" i="1"/>
  <c r="AJ87" i="1" s="1"/>
  <c r="AJ246" i="1"/>
  <c r="AC245" i="1"/>
  <c r="AJ245" i="1" s="1"/>
  <c r="AI166" i="1"/>
  <c r="AJ168" i="1"/>
  <c r="AI165" i="1"/>
  <c r="AC166" i="1"/>
  <c r="AJ166" i="1" s="1"/>
  <c r="AC165" i="1"/>
  <c r="AC164" i="1"/>
  <c r="AJ164" i="1" s="1"/>
  <c r="AI164" i="1"/>
  <c r="AJ165" i="1" l="1"/>
  <c r="F290" i="1"/>
  <c r="E290" i="1"/>
  <c r="F289" i="1"/>
  <c r="E289" i="1"/>
  <c r="F288" i="1"/>
  <c r="E288" i="1"/>
  <c r="F287" i="1"/>
  <c r="E287" i="1"/>
  <c r="F286" i="1"/>
  <c r="E286" i="1"/>
  <c r="F285" i="1"/>
  <c r="E285" i="1"/>
  <c r="F284" i="1"/>
  <c r="E284" i="1"/>
  <c r="F283" i="1"/>
  <c r="E283" i="1"/>
  <c r="F282" i="1"/>
  <c r="E282" i="1"/>
  <c r="F281" i="1"/>
  <c r="E281" i="1"/>
  <c r="F280" i="1"/>
  <c r="E280" i="1"/>
  <c r="F279" i="1"/>
  <c r="E279" i="1"/>
  <c r="F278" i="1"/>
  <c r="E278" i="1"/>
  <c r="F277" i="1"/>
  <c r="E277" i="1"/>
  <c r="F276" i="1"/>
  <c r="E276" i="1"/>
  <c r="F275" i="1"/>
  <c r="E275" i="1"/>
  <c r="F274" i="1"/>
  <c r="E274" i="1"/>
  <c r="F273" i="1"/>
  <c r="E273" i="1"/>
  <c r="F272" i="1"/>
  <c r="E272" i="1"/>
  <c r="F271" i="1"/>
  <c r="E271" i="1"/>
  <c r="F270" i="1"/>
  <c r="E270" i="1"/>
  <c r="F269" i="1"/>
  <c r="E269" i="1"/>
  <c r="F268" i="1"/>
  <c r="E268" i="1"/>
  <c r="F267" i="1"/>
  <c r="E267" i="1"/>
  <c r="F266" i="1"/>
  <c r="E266" i="1"/>
  <c r="F265" i="1"/>
  <c r="E265" i="1"/>
  <c r="F264" i="1"/>
  <c r="E264" i="1"/>
  <c r="F263" i="1"/>
  <c r="E263" i="1"/>
  <c r="F262" i="1"/>
  <c r="E262" i="1"/>
  <c r="F261" i="1"/>
  <c r="E261" i="1"/>
  <c r="F260" i="1"/>
  <c r="E260" i="1"/>
  <c r="F259" i="1"/>
  <c r="E259" i="1"/>
  <c r="F258" i="1"/>
  <c r="E258" i="1"/>
  <c r="F257" i="1"/>
  <c r="E257" i="1"/>
  <c r="F256" i="1"/>
  <c r="E256" i="1"/>
  <c r="F255" i="1"/>
  <c r="E255" i="1"/>
  <c r="F254" i="1"/>
  <c r="E254" i="1"/>
  <c r="F253" i="1"/>
  <c r="E253" i="1"/>
  <c r="F252" i="1"/>
  <c r="E252" i="1"/>
  <c r="F251" i="1"/>
  <c r="E251" i="1"/>
  <c r="F250" i="1"/>
  <c r="E250" i="1"/>
  <c r="F249" i="1"/>
  <c r="E249" i="1"/>
  <c r="F248" i="1"/>
  <c r="E248" i="1"/>
  <c r="F247" i="1"/>
  <c r="E247" i="1"/>
  <c r="F244" i="1"/>
  <c r="E244" i="1"/>
  <c r="F243" i="1"/>
  <c r="E243" i="1"/>
  <c r="F242" i="1"/>
  <c r="E242" i="1"/>
  <c r="F241" i="1"/>
  <c r="E241" i="1"/>
  <c r="F240" i="1"/>
  <c r="E240" i="1"/>
  <c r="F238" i="1"/>
  <c r="E238" i="1"/>
  <c r="F237" i="1"/>
  <c r="E237" i="1"/>
  <c r="F236" i="1"/>
  <c r="E236" i="1"/>
  <c r="F235" i="1"/>
  <c r="E235" i="1"/>
  <c r="F234" i="1"/>
  <c r="E234" i="1"/>
  <c r="F233" i="1"/>
  <c r="E233" i="1"/>
  <c r="F232" i="1"/>
  <c r="E232" i="1"/>
  <c r="F231" i="1"/>
  <c r="E231" i="1"/>
  <c r="F230" i="1"/>
  <c r="E230" i="1"/>
  <c r="F229" i="1"/>
  <c r="E229" i="1"/>
  <c r="F228" i="1"/>
  <c r="E228" i="1"/>
  <c r="F227" i="1"/>
  <c r="E227" i="1"/>
  <c r="F226" i="1"/>
  <c r="E226" i="1"/>
  <c r="F225" i="1"/>
  <c r="E225" i="1"/>
  <c r="F224" i="1"/>
  <c r="E224" i="1"/>
  <c r="F223" i="1"/>
  <c r="E223" i="1"/>
  <c r="F222" i="1"/>
  <c r="E222" i="1"/>
  <c r="F221" i="1"/>
  <c r="E221" i="1"/>
  <c r="F220" i="1"/>
  <c r="E220" i="1"/>
  <c r="F219" i="1"/>
  <c r="E219" i="1"/>
  <c r="F218" i="1"/>
  <c r="E218" i="1"/>
  <c r="F217" i="1"/>
  <c r="E217" i="1"/>
  <c r="F216" i="1"/>
  <c r="E216" i="1"/>
  <c r="F215" i="1"/>
  <c r="E215" i="1"/>
  <c r="F214" i="1"/>
  <c r="E214" i="1"/>
  <c r="F213" i="1"/>
  <c r="E213" i="1"/>
  <c r="F212" i="1"/>
  <c r="E212" i="1"/>
  <c r="F211" i="1"/>
  <c r="E211" i="1"/>
  <c r="F210" i="1"/>
  <c r="E210" i="1"/>
  <c r="F209" i="1"/>
  <c r="E209" i="1"/>
  <c r="F208" i="1"/>
  <c r="E208" i="1"/>
  <c r="F207" i="1"/>
  <c r="E207" i="1"/>
  <c r="F206" i="1"/>
  <c r="E206" i="1"/>
  <c r="F205" i="1"/>
  <c r="E205" i="1"/>
  <c r="F204" i="1"/>
  <c r="E204" i="1"/>
  <c r="F203" i="1"/>
  <c r="E203" i="1"/>
  <c r="F202" i="1"/>
  <c r="E202" i="1"/>
  <c r="F201" i="1"/>
  <c r="E201" i="1"/>
  <c r="F200" i="1"/>
  <c r="E200" i="1"/>
  <c r="F199" i="1"/>
  <c r="E199" i="1"/>
  <c r="F198" i="1"/>
  <c r="E198" i="1"/>
  <c r="F197" i="1"/>
  <c r="E197" i="1"/>
  <c r="F196" i="1"/>
  <c r="E196" i="1"/>
  <c r="F195" i="1"/>
  <c r="E195" i="1"/>
  <c r="F194" i="1"/>
  <c r="E194" i="1"/>
  <c r="F193" i="1"/>
  <c r="E193" i="1"/>
  <c r="F192" i="1"/>
  <c r="E192" i="1"/>
  <c r="F191" i="1"/>
  <c r="E191" i="1"/>
  <c r="F190" i="1"/>
  <c r="E190" i="1"/>
  <c r="F189" i="1"/>
  <c r="E189" i="1"/>
  <c r="F187" i="1"/>
  <c r="E187" i="1"/>
  <c r="F185" i="1"/>
  <c r="E185" i="1"/>
  <c r="F184" i="1"/>
  <c r="E184" i="1"/>
  <c r="F183" i="1"/>
  <c r="E183" i="1"/>
  <c r="F182" i="1"/>
  <c r="E182" i="1"/>
  <c r="F181" i="1"/>
  <c r="E181" i="1"/>
  <c r="F180" i="1"/>
  <c r="E180" i="1"/>
  <c r="F178" i="1"/>
  <c r="E178" i="1"/>
  <c r="F177" i="1"/>
  <c r="E177" i="1"/>
  <c r="F176" i="1"/>
  <c r="E176" i="1"/>
  <c r="F175" i="1"/>
  <c r="E175" i="1"/>
  <c r="F174" i="1"/>
  <c r="E174" i="1"/>
  <c r="F173" i="1"/>
  <c r="E173" i="1"/>
  <c r="F172" i="1"/>
  <c r="E172" i="1"/>
  <c r="F171" i="1"/>
  <c r="E171" i="1"/>
  <c r="F170" i="1"/>
  <c r="E170" i="1"/>
  <c r="F169" i="1"/>
  <c r="E169" i="1"/>
  <c r="F167" i="1"/>
  <c r="E167" i="1"/>
  <c r="F163" i="1"/>
  <c r="E163" i="1"/>
  <c r="F162" i="1"/>
  <c r="E162" i="1"/>
  <c r="F161" i="1"/>
  <c r="E161" i="1"/>
  <c r="F160" i="1"/>
  <c r="E160" i="1"/>
  <c r="F159" i="1"/>
  <c r="E159" i="1"/>
  <c r="F158" i="1"/>
  <c r="E158" i="1"/>
  <c r="F157" i="1"/>
  <c r="E157" i="1"/>
  <c r="F156" i="1"/>
  <c r="E156" i="1"/>
  <c r="F155" i="1"/>
  <c r="E155" i="1"/>
  <c r="F154" i="1"/>
  <c r="E154" i="1"/>
  <c r="F153" i="1"/>
  <c r="E153" i="1"/>
  <c r="F152" i="1"/>
  <c r="E152" i="1"/>
  <c r="F151" i="1"/>
  <c r="E151" i="1"/>
  <c r="F150" i="1"/>
  <c r="E150" i="1"/>
  <c r="F149" i="1"/>
  <c r="E149" i="1"/>
  <c r="F148" i="1"/>
  <c r="E148" i="1"/>
  <c r="F147" i="1"/>
  <c r="E147" i="1"/>
  <c r="F146" i="1"/>
  <c r="E146" i="1"/>
  <c r="F145" i="1"/>
  <c r="E145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F137" i="1"/>
  <c r="E137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F128" i="1"/>
  <c r="E128" i="1"/>
  <c r="F127" i="1"/>
  <c r="E127" i="1"/>
  <c r="F126" i="1"/>
  <c r="E126" i="1"/>
  <c r="F125" i="1"/>
  <c r="E125" i="1"/>
  <c r="F124" i="1"/>
  <c r="E124" i="1"/>
  <c r="F123" i="1"/>
  <c r="E123" i="1"/>
  <c r="F122" i="1"/>
  <c r="E122" i="1"/>
  <c r="F121" i="1"/>
  <c r="E121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F106" i="1"/>
  <c r="E106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F94" i="1"/>
  <c r="E94" i="1"/>
  <c r="F93" i="1"/>
  <c r="E93" i="1"/>
  <c r="F92" i="1"/>
  <c r="E92" i="1"/>
  <c r="F91" i="1"/>
  <c r="E91" i="1"/>
  <c r="F90" i="1"/>
  <c r="E90" i="1"/>
  <c r="F88" i="1"/>
  <c r="E88" i="1"/>
  <c r="F86" i="1"/>
  <c r="E86" i="1"/>
  <c r="F85" i="1"/>
  <c r="E85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179" i="1" l="1"/>
  <c r="E179" i="1" l="1"/>
  <c r="DR295" i="1" l="1"/>
  <c r="V295" i="1"/>
  <c r="W295" i="1" s="1"/>
  <c r="AM295" i="1"/>
  <c r="AP295" i="1"/>
  <c r="AS295" i="1"/>
  <c r="AV295" i="1"/>
  <c r="AY295" i="1"/>
  <c r="BB295" i="1"/>
  <c r="BE295" i="1"/>
  <c r="BH295" i="1"/>
  <c r="BK295" i="1"/>
  <c r="BN295" i="1"/>
  <c r="BQ295" i="1"/>
  <c r="BV295" i="1"/>
  <c r="BW295" i="1"/>
  <c r="BY295" i="1" s="1"/>
  <c r="CB295" i="1"/>
  <c r="CE295" i="1"/>
  <c r="CH295" i="1"/>
  <c r="CK295" i="1"/>
  <c r="CY295" i="1"/>
  <c r="DD295" i="1"/>
  <c r="DE295" i="1"/>
  <c r="AF295" i="1" s="1"/>
  <c r="Y295" i="1" l="1"/>
  <c r="BS295" i="1"/>
  <c r="P295" i="1" s="1"/>
  <c r="CI295" i="1"/>
  <c r="AA295" i="1" l="1"/>
  <c r="AB295" i="1" s="1"/>
  <c r="R295" i="1"/>
  <c r="AG295" i="1"/>
  <c r="X295" i="1"/>
  <c r="Z295" i="1" s="1"/>
  <c r="AD295" i="1"/>
  <c r="AE295" i="1"/>
  <c r="DN295" i="1" l="1"/>
  <c r="AI295" i="1"/>
  <c r="AC295" i="1"/>
  <c r="DR231" i="1"/>
  <c r="T231" i="1"/>
  <c r="V231" i="1"/>
  <c r="W231" i="1" s="1"/>
  <c r="AM231" i="1"/>
  <c r="AP231" i="1"/>
  <c r="AS231" i="1"/>
  <c r="AV231" i="1"/>
  <c r="AY231" i="1"/>
  <c r="BB231" i="1"/>
  <c r="BE231" i="1"/>
  <c r="BH231" i="1"/>
  <c r="BK231" i="1"/>
  <c r="BN231" i="1"/>
  <c r="BQ231" i="1"/>
  <c r="BV231" i="1"/>
  <c r="BW231" i="1"/>
  <c r="BY231" i="1" s="1"/>
  <c r="CB231" i="1"/>
  <c r="CE231" i="1"/>
  <c r="CH231" i="1"/>
  <c r="CK231" i="1"/>
  <c r="CY231" i="1"/>
  <c r="DD231" i="1"/>
  <c r="DE231" i="1"/>
  <c r="AF231" i="1" s="1"/>
  <c r="DR161" i="1"/>
  <c r="T161" i="1"/>
  <c r="V161" i="1"/>
  <c r="W161" i="1" s="1"/>
  <c r="AA161" i="1"/>
  <c r="AM161" i="1"/>
  <c r="AP161" i="1"/>
  <c r="AS161" i="1"/>
  <c r="AV161" i="1"/>
  <c r="AY161" i="1"/>
  <c r="BB161" i="1"/>
  <c r="BE161" i="1"/>
  <c r="BH161" i="1"/>
  <c r="BK161" i="1"/>
  <c r="BN161" i="1"/>
  <c r="BQ161" i="1"/>
  <c r="BV161" i="1"/>
  <c r="BW161" i="1"/>
  <c r="BY161" i="1" s="1"/>
  <c r="CB161" i="1"/>
  <c r="CE161" i="1"/>
  <c r="CH161" i="1"/>
  <c r="CK161" i="1"/>
  <c r="CY161" i="1"/>
  <c r="DD161" i="1"/>
  <c r="DE161" i="1"/>
  <c r="AF161" i="1" s="1"/>
  <c r="DE163" i="1"/>
  <c r="AF163" i="1" s="1"/>
  <c r="DD163" i="1"/>
  <c r="CY163" i="1"/>
  <c r="CK163" i="1"/>
  <c r="CH163" i="1"/>
  <c r="CE163" i="1"/>
  <c r="CB163" i="1"/>
  <c r="BW163" i="1"/>
  <c r="BY163" i="1" s="1"/>
  <c r="BV163" i="1"/>
  <c r="BQ163" i="1"/>
  <c r="BN163" i="1"/>
  <c r="BK163" i="1"/>
  <c r="BH163" i="1"/>
  <c r="BE163" i="1"/>
  <c r="BB163" i="1"/>
  <c r="AY163" i="1"/>
  <c r="AV163" i="1"/>
  <c r="AS163" i="1"/>
  <c r="AP163" i="1"/>
  <c r="AM163" i="1"/>
  <c r="V163" i="1"/>
  <c r="W163" i="1" s="1"/>
  <c r="T163" i="1"/>
  <c r="DR163" i="1"/>
  <c r="DR124" i="1"/>
  <c r="DR27" i="1"/>
  <c r="AJ295" i="1" l="1"/>
  <c r="Y231" i="1"/>
  <c r="BS231" i="1"/>
  <c r="P231" i="1" s="1"/>
  <c r="BS161" i="1"/>
  <c r="P161" i="1" s="1"/>
  <c r="X161" i="1" s="1"/>
  <c r="CI231" i="1"/>
  <c r="R231" i="1" s="1"/>
  <c r="AA231" i="1" s="1"/>
  <c r="AB231" i="1" s="1"/>
  <c r="CI161" i="1"/>
  <c r="R161" i="1" s="1"/>
  <c r="AB161" i="1" s="1"/>
  <c r="BS163" i="1"/>
  <c r="P163" i="1" s="1"/>
  <c r="X163" i="1" s="1"/>
  <c r="CI163" i="1"/>
  <c r="R163" i="1" s="1"/>
  <c r="AA163" i="1" s="1"/>
  <c r="AB163" i="1" s="1"/>
  <c r="Y163" i="1"/>
  <c r="Y161" i="1"/>
  <c r="AG231" i="1" l="1"/>
  <c r="X231" i="1"/>
  <c r="Z231" i="1" s="1"/>
  <c r="AD161" i="1"/>
  <c r="AE161" i="1"/>
  <c r="AG161" i="1"/>
  <c r="Z161" i="1"/>
  <c r="AD231" i="1"/>
  <c r="DN231" i="1" s="1"/>
  <c r="AG163" i="1"/>
  <c r="AE231" i="1"/>
  <c r="AE163" i="1"/>
  <c r="AD163" i="1"/>
  <c r="Z163" i="1"/>
  <c r="V277" i="1"/>
  <c r="W277" i="1" s="1"/>
  <c r="Y124" i="1"/>
  <c r="Y27" i="1"/>
  <c r="DR293" i="1"/>
  <c r="Y293" i="1" s="1"/>
  <c r="DN161" i="1" l="1"/>
  <c r="AI161" i="1"/>
  <c r="DN163" i="1"/>
  <c r="AI163" i="1"/>
  <c r="AI231" i="1"/>
  <c r="AC231" i="1"/>
  <c r="AJ231" i="1" s="1"/>
  <c r="AC163" i="1"/>
  <c r="AC161" i="1"/>
  <c r="AJ161" i="1" l="1"/>
  <c r="AJ163" i="1"/>
  <c r="DR10" i="1" l="1"/>
  <c r="T10" i="1"/>
  <c r="V10" i="1"/>
  <c r="W10" i="1" s="1"/>
  <c r="AA10" i="1"/>
  <c r="AM10" i="1"/>
  <c r="AP10" i="1"/>
  <c r="AS10" i="1"/>
  <c r="AV10" i="1"/>
  <c r="AY10" i="1"/>
  <c r="BB10" i="1"/>
  <c r="BE10" i="1"/>
  <c r="BH10" i="1"/>
  <c r="BK10" i="1"/>
  <c r="BN10" i="1"/>
  <c r="BQ10" i="1"/>
  <c r="BV10" i="1"/>
  <c r="BW10" i="1"/>
  <c r="BY10" i="1" s="1"/>
  <c r="CB10" i="1"/>
  <c r="CE10" i="1"/>
  <c r="CH10" i="1"/>
  <c r="CK10" i="1"/>
  <c r="CY10" i="1"/>
  <c r="DD10" i="1"/>
  <c r="DE10" i="1"/>
  <c r="AF10" i="1" s="1"/>
  <c r="DE239" i="1"/>
  <c r="AF239" i="1" s="1"/>
  <c r="DD239" i="1"/>
  <c r="CY239" i="1"/>
  <c r="CK239" i="1"/>
  <c r="CH239" i="1"/>
  <c r="BW239" i="1"/>
  <c r="AP239" i="1"/>
  <c r="AM239" i="1"/>
  <c r="AA239" i="1"/>
  <c r="V239" i="1"/>
  <c r="W239" i="1" s="1"/>
  <c r="R239" i="1"/>
  <c r="DE186" i="1"/>
  <c r="AF186" i="1" s="1"/>
  <c r="DD186" i="1"/>
  <c r="CY186" i="1"/>
  <c r="CK186" i="1"/>
  <c r="CH186" i="1"/>
  <c r="CE186" i="1"/>
  <c r="CB186" i="1"/>
  <c r="BW186" i="1"/>
  <c r="BY186" i="1" s="1"/>
  <c r="BV186" i="1"/>
  <c r="BQ186" i="1"/>
  <c r="BN186" i="1"/>
  <c r="BK186" i="1"/>
  <c r="BH186" i="1"/>
  <c r="BE186" i="1"/>
  <c r="BB186" i="1"/>
  <c r="AY186" i="1"/>
  <c r="AV186" i="1"/>
  <c r="AS186" i="1"/>
  <c r="AP186" i="1"/>
  <c r="AM186" i="1"/>
  <c r="AA186" i="1"/>
  <c r="V186" i="1"/>
  <c r="W186" i="1" s="1"/>
  <c r="T186" i="1"/>
  <c r="DE68" i="1"/>
  <c r="AF68" i="1" s="1"/>
  <c r="DD68" i="1"/>
  <c r="CY68" i="1"/>
  <c r="CK68" i="1"/>
  <c r="CH68" i="1"/>
  <c r="CE68" i="1"/>
  <c r="CB68" i="1"/>
  <c r="BW68" i="1"/>
  <c r="BY68" i="1" s="1"/>
  <c r="BV68" i="1"/>
  <c r="BQ68" i="1"/>
  <c r="BN68" i="1"/>
  <c r="BK68" i="1"/>
  <c r="BH68" i="1"/>
  <c r="BE68" i="1"/>
  <c r="BB68" i="1"/>
  <c r="AY68" i="1"/>
  <c r="AV68" i="1"/>
  <c r="AS68" i="1"/>
  <c r="AP68" i="1"/>
  <c r="AM68" i="1"/>
  <c r="AA68" i="1"/>
  <c r="V68" i="1"/>
  <c r="W68" i="1" s="1"/>
  <c r="T68" i="1"/>
  <c r="Q68" i="1"/>
  <c r="DR68" i="1" s="1"/>
  <c r="DE167" i="1"/>
  <c r="AF167" i="1" s="1"/>
  <c r="DD167" i="1"/>
  <c r="CY167" i="1"/>
  <c r="CK167" i="1"/>
  <c r="CH167" i="1"/>
  <c r="CE167" i="1"/>
  <c r="CB167" i="1"/>
  <c r="BW167" i="1"/>
  <c r="BY167" i="1" s="1"/>
  <c r="BV167" i="1"/>
  <c r="BQ167" i="1"/>
  <c r="BN167" i="1"/>
  <c r="BK167" i="1"/>
  <c r="BH167" i="1"/>
  <c r="BE167" i="1"/>
  <c r="BB167" i="1"/>
  <c r="AY167" i="1"/>
  <c r="AV167" i="1"/>
  <c r="AS167" i="1"/>
  <c r="AP167" i="1"/>
  <c r="AM167" i="1"/>
  <c r="AA167" i="1"/>
  <c r="V167" i="1"/>
  <c r="W167" i="1" s="1"/>
  <c r="T167" i="1"/>
  <c r="DE201" i="1"/>
  <c r="AF201" i="1" s="1"/>
  <c r="DD201" i="1"/>
  <c r="CY201" i="1"/>
  <c r="CK201" i="1"/>
  <c r="CH201" i="1"/>
  <c r="CE201" i="1"/>
  <c r="CB201" i="1"/>
  <c r="BW201" i="1"/>
  <c r="BY201" i="1" s="1"/>
  <c r="BV201" i="1"/>
  <c r="BQ201" i="1"/>
  <c r="BN201" i="1"/>
  <c r="BK201" i="1"/>
  <c r="BH201" i="1"/>
  <c r="BE201" i="1"/>
  <c r="BB201" i="1"/>
  <c r="AY201" i="1"/>
  <c r="AV201" i="1"/>
  <c r="AS201" i="1"/>
  <c r="AP201" i="1"/>
  <c r="AM201" i="1"/>
  <c r="AA201" i="1"/>
  <c r="V201" i="1"/>
  <c r="W201" i="1" s="1"/>
  <c r="T201" i="1"/>
  <c r="DR186" i="1" l="1"/>
  <c r="Y186" i="1" s="1"/>
  <c r="DR239" i="1"/>
  <c r="Y239" i="1" s="1"/>
  <c r="DR167" i="1"/>
  <c r="Y167" i="1" s="1"/>
  <c r="DR201" i="1"/>
  <c r="Y201" i="1" s="1"/>
  <c r="Y68" i="1"/>
  <c r="Y10" i="1"/>
  <c r="CI186" i="1"/>
  <c r="R186" i="1" s="1"/>
  <c r="AB186" i="1" s="1"/>
  <c r="BS10" i="1"/>
  <c r="P10" i="1" s="1"/>
  <c r="X10" i="1" s="1"/>
  <c r="BS239" i="1"/>
  <c r="P239" i="1" s="1"/>
  <c r="CI10" i="1"/>
  <c r="R10" i="1" s="1"/>
  <c r="AB10" i="1" s="1"/>
  <c r="AB239" i="1"/>
  <c r="BS186" i="1"/>
  <c r="P186" i="1" s="1"/>
  <c r="X186" i="1" s="1"/>
  <c r="BS68" i="1"/>
  <c r="P68" i="1" s="1"/>
  <c r="X68" i="1" s="1"/>
  <c r="CI68" i="1"/>
  <c r="R68" i="1" s="1"/>
  <c r="AB68" i="1" s="1"/>
  <c r="BS167" i="1"/>
  <c r="P167" i="1" s="1"/>
  <c r="CI167" i="1"/>
  <c r="R167" i="1" s="1"/>
  <c r="AB167" i="1" s="1"/>
  <c r="BS201" i="1"/>
  <c r="P201" i="1" s="1"/>
  <c r="CI201" i="1"/>
  <c r="R201" i="1" s="1"/>
  <c r="AB201" i="1" s="1"/>
  <c r="DE230" i="1"/>
  <c r="AF230" i="1" s="1"/>
  <c r="DD230" i="1"/>
  <c r="CY230" i="1"/>
  <c r="CK230" i="1"/>
  <c r="CH230" i="1"/>
  <c r="CE230" i="1"/>
  <c r="CB230" i="1"/>
  <c r="BW230" i="1"/>
  <c r="BY230" i="1" s="1"/>
  <c r="BV230" i="1"/>
  <c r="BQ230" i="1"/>
  <c r="BN230" i="1"/>
  <c r="BK230" i="1"/>
  <c r="BH230" i="1"/>
  <c r="BE230" i="1"/>
  <c r="BB230" i="1"/>
  <c r="AY230" i="1"/>
  <c r="AV230" i="1"/>
  <c r="AS230" i="1"/>
  <c r="AP230" i="1"/>
  <c r="AM230" i="1"/>
  <c r="T230" i="1"/>
  <c r="DE122" i="1"/>
  <c r="AF122" i="1" s="1"/>
  <c r="DD122" i="1"/>
  <c r="CY122" i="1"/>
  <c r="CK122" i="1"/>
  <c r="CH122" i="1"/>
  <c r="CE122" i="1"/>
  <c r="CB122" i="1"/>
  <c r="BW122" i="1"/>
  <c r="BY122" i="1" s="1"/>
  <c r="BV122" i="1"/>
  <c r="BQ122" i="1"/>
  <c r="BN122" i="1"/>
  <c r="BK122" i="1"/>
  <c r="BH122" i="1"/>
  <c r="BE122" i="1"/>
  <c r="BB122" i="1"/>
  <c r="AY122" i="1"/>
  <c r="AV122" i="1"/>
  <c r="AS122" i="1"/>
  <c r="AP122" i="1"/>
  <c r="AM122" i="1"/>
  <c r="AA122" i="1"/>
  <c r="T122" i="1"/>
  <c r="Q122" i="1"/>
  <c r="V122" i="1" s="1"/>
  <c r="W122" i="1" s="1"/>
  <c r="DE121" i="1"/>
  <c r="AF121" i="1" s="1"/>
  <c r="DD121" i="1"/>
  <c r="CY121" i="1"/>
  <c r="CK121" i="1"/>
  <c r="CH121" i="1"/>
  <c r="CE121" i="1"/>
  <c r="CB121" i="1"/>
  <c r="BW121" i="1"/>
  <c r="BY121" i="1" s="1"/>
  <c r="BV121" i="1"/>
  <c r="BQ121" i="1"/>
  <c r="BN121" i="1"/>
  <c r="BK121" i="1"/>
  <c r="BH121" i="1"/>
  <c r="BE121" i="1"/>
  <c r="BB121" i="1"/>
  <c r="AY121" i="1"/>
  <c r="AV121" i="1"/>
  <c r="AS121" i="1"/>
  <c r="AP121" i="1"/>
  <c r="AM121" i="1"/>
  <c r="AA121" i="1"/>
  <c r="T121" i="1"/>
  <c r="Q121" i="1"/>
  <c r="DR121" i="1" s="1"/>
  <c r="DD119" i="1"/>
  <c r="DE120" i="1"/>
  <c r="AF120" i="1" s="1"/>
  <c r="DD120" i="1"/>
  <c r="CY120" i="1"/>
  <c r="CK120" i="1"/>
  <c r="CH120" i="1"/>
  <c r="CE120" i="1"/>
  <c r="CB120" i="1"/>
  <c r="BW120" i="1"/>
  <c r="BY120" i="1" s="1"/>
  <c r="BV120" i="1"/>
  <c r="BQ120" i="1"/>
  <c r="BN120" i="1"/>
  <c r="BK120" i="1"/>
  <c r="BH120" i="1"/>
  <c r="BE120" i="1"/>
  <c r="BB120" i="1"/>
  <c r="AY120" i="1"/>
  <c r="AV120" i="1"/>
  <c r="AS120" i="1"/>
  <c r="AP120" i="1"/>
  <c r="AM120" i="1"/>
  <c r="AA120" i="1"/>
  <c r="T120" i="1"/>
  <c r="Q120" i="1"/>
  <c r="DE119" i="1"/>
  <c r="CY119" i="1"/>
  <c r="CK119" i="1"/>
  <c r="CH119" i="1"/>
  <c r="CE119" i="1"/>
  <c r="CB119" i="1"/>
  <c r="BW119" i="1"/>
  <c r="BY119" i="1" s="1"/>
  <c r="BV119" i="1"/>
  <c r="BQ119" i="1"/>
  <c r="BN119" i="1"/>
  <c r="BK119" i="1"/>
  <c r="BH119" i="1"/>
  <c r="BE119" i="1"/>
  <c r="BB119" i="1"/>
  <c r="AY119" i="1"/>
  <c r="AV119" i="1"/>
  <c r="AS119" i="1"/>
  <c r="AP119" i="1"/>
  <c r="AM119" i="1"/>
  <c r="T119" i="1"/>
  <c r="Q119" i="1"/>
  <c r="AG201" i="1" l="1"/>
  <c r="X201" i="1"/>
  <c r="Z201" i="1" s="1"/>
  <c r="AD239" i="1"/>
  <c r="X239" i="1"/>
  <c r="Z239" i="1" s="1"/>
  <c r="AG167" i="1"/>
  <c r="X167" i="1"/>
  <c r="Z167" i="1" s="1"/>
  <c r="AG10" i="1"/>
  <c r="AE186" i="1"/>
  <c r="AG239" i="1"/>
  <c r="AE239" i="1"/>
  <c r="DN239" i="1" s="1"/>
  <c r="Z68" i="1"/>
  <c r="Z10" i="1"/>
  <c r="V121" i="1"/>
  <c r="W121" i="1" s="1"/>
  <c r="DR122" i="1"/>
  <c r="Y122" i="1" s="1"/>
  <c r="AE10" i="1"/>
  <c r="DN10" i="1" s="1"/>
  <c r="Y121" i="1"/>
  <c r="V230" i="1"/>
  <c r="W230" i="1" s="1"/>
  <c r="DR230" i="1"/>
  <c r="V119" i="1"/>
  <c r="W119" i="1" s="1"/>
  <c r="DR119" i="1"/>
  <c r="Y119" i="1" s="1"/>
  <c r="V120" i="1"/>
  <c r="W120" i="1" s="1"/>
  <c r="DR120" i="1"/>
  <c r="Y120" i="1" s="1"/>
  <c r="AD10" i="1"/>
  <c r="AG186" i="1"/>
  <c r="AD186" i="1"/>
  <c r="DN186" i="1" s="1"/>
  <c r="Z186" i="1"/>
  <c r="AG68" i="1"/>
  <c r="AD68" i="1"/>
  <c r="AE68" i="1"/>
  <c r="DN68" i="1" s="1"/>
  <c r="AD167" i="1"/>
  <c r="AE167" i="1"/>
  <c r="DN167" i="1" s="1"/>
  <c r="BS120" i="1"/>
  <c r="P120" i="1" s="1"/>
  <c r="BS121" i="1"/>
  <c r="P121" i="1" s="1"/>
  <c r="BS122" i="1"/>
  <c r="P122" i="1" s="1"/>
  <c r="X122" i="1" s="1"/>
  <c r="CI119" i="1"/>
  <c r="R119" i="1" s="1"/>
  <c r="AA119" i="1" s="1"/>
  <c r="AB119" i="1" s="1"/>
  <c r="CI121" i="1"/>
  <c r="R121" i="1" s="1"/>
  <c r="AB121" i="1" s="1"/>
  <c r="AD201" i="1"/>
  <c r="AE201" i="1"/>
  <c r="CI230" i="1"/>
  <c r="R230" i="1" s="1"/>
  <c r="AA230" i="1" s="1"/>
  <c r="AB230" i="1" s="1"/>
  <c r="BS230" i="1"/>
  <c r="P230" i="1" s="1"/>
  <c r="CI122" i="1"/>
  <c r="R122" i="1" s="1"/>
  <c r="AB122" i="1" s="1"/>
  <c r="CI120" i="1"/>
  <c r="R120" i="1" s="1"/>
  <c r="AB120" i="1" s="1"/>
  <c r="BS119" i="1"/>
  <c r="P119" i="1" s="1"/>
  <c r="AF119" i="1"/>
  <c r="AC201" i="1" l="1"/>
  <c r="AJ201" i="1" s="1"/>
  <c r="X120" i="1"/>
  <c r="X230" i="1"/>
  <c r="AC10" i="1"/>
  <c r="AJ10" i="1" s="1"/>
  <c r="X121" i="1"/>
  <c r="AC167" i="1"/>
  <c r="AJ167" i="1" s="1"/>
  <c r="AI239" i="1"/>
  <c r="AG119" i="1"/>
  <c r="X119" i="1"/>
  <c r="Z119" i="1" s="1"/>
  <c r="DN201" i="1"/>
  <c r="AI201" i="1"/>
  <c r="AI68" i="1"/>
  <c r="AI10" i="1"/>
  <c r="AC68" i="1"/>
  <c r="AJ68" i="1" s="1"/>
  <c r="AC239" i="1"/>
  <c r="AJ239" i="1" s="1"/>
  <c r="Z120" i="1"/>
  <c r="Y230" i="1"/>
  <c r="AI186" i="1"/>
  <c r="AC186" i="1"/>
  <c r="AJ186" i="1" s="1"/>
  <c r="AI167" i="1"/>
  <c r="Z122" i="1"/>
  <c r="AG122" i="1"/>
  <c r="AE230" i="1"/>
  <c r="DN230" i="1" s="1"/>
  <c r="AG121" i="1"/>
  <c r="Z121" i="1"/>
  <c r="AG120" i="1"/>
  <c r="AD121" i="1"/>
  <c r="DN121" i="1" s="1"/>
  <c r="AE121" i="1"/>
  <c r="AD230" i="1"/>
  <c r="AG230" i="1"/>
  <c r="AD122" i="1"/>
  <c r="DN122" i="1" s="1"/>
  <c r="AE122" i="1"/>
  <c r="AD120" i="1"/>
  <c r="DN120" i="1" s="1"/>
  <c r="AE119" i="1"/>
  <c r="AE120" i="1"/>
  <c r="AD119" i="1"/>
  <c r="DN119" i="1" s="1"/>
  <c r="AF88" i="1"/>
  <c r="AA88" i="1"/>
  <c r="V88" i="1"/>
  <c r="W88" i="1" s="1"/>
  <c r="T88" i="1"/>
  <c r="Q88" i="1"/>
  <c r="DE131" i="1"/>
  <c r="AF131" i="1" s="1"/>
  <c r="DD131" i="1"/>
  <c r="CY131" i="1"/>
  <c r="CK131" i="1"/>
  <c r="CH131" i="1"/>
  <c r="CE131" i="1"/>
  <c r="CB131" i="1"/>
  <c r="BW131" i="1"/>
  <c r="BY131" i="1" s="1"/>
  <c r="BV131" i="1"/>
  <c r="BQ131" i="1"/>
  <c r="BN131" i="1"/>
  <c r="BK131" i="1"/>
  <c r="BH131" i="1"/>
  <c r="BE131" i="1"/>
  <c r="BB131" i="1"/>
  <c r="AY131" i="1"/>
  <c r="AV131" i="1"/>
  <c r="AS131" i="1"/>
  <c r="AP131" i="1"/>
  <c r="AM131" i="1"/>
  <c r="AA131" i="1"/>
  <c r="V131" i="1"/>
  <c r="W131" i="1" s="1"/>
  <c r="T131" i="1"/>
  <c r="Q131" i="1"/>
  <c r="DE200" i="1"/>
  <c r="AF200" i="1" s="1"/>
  <c r="DD200" i="1"/>
  <c r="CY200" i="1"/>
  <c r="CK200" i="1"/>
  <c r="CH200" i="1"/>
  <c r="CE200" i="1"/>
  <c r="CB200" i="1"/>
  <c r="BW200" i="1"/>
  <c r="BY200" i="1" s="1"/>
  <c r="BV200" i="1"/>
  <c r="BQ200" i="1"/>
  <c r="BN200" i="1"/>
  <c r="BK200" i="1"/>
  <c r="BH200" i="1"/>
  <c r="BE200" i="1"/>
  <c r="BB200" i="1"/>
  <c r="AY200" i="1"/>
  <c r="AV200" i="1"/>
  <c r="AS200" i="1"/>
  <c r="AP200" i="1"/>
  <c r="AM200" i="1"/>
  <c r="V200" i="1"/>
  <c r="W200" i="1" s="1"/>
  <c r="T200" i="1"/>
  <c r="DE199" i="1"/>
  <c r="AF199" i="1" s="1"/>
  <c r="DD199" i="1"/>
  <c r="CY199" i="1"/>
  <c r="CK199" i="1"/>
  <c r="CH199" i="1"/>
  <c r="CE199" i="1"/>
  <c r="CB199" i="1"/>
  <c r="BW199" i="1"/>
  <c r="BY199" i="1" s="1"/>
  <c r="BV199" i="1"/>
  <c r="BQ199" i="1"/>
  <c r="BN199" i="1"/>
  <c r="BK199" i="1"/>
  <c r="BH199" i="1"/>
  <c r="BE199" i="1"/>
  <c r="BB199" i="1"/>
  <c r="AY199" i="1"/>
  <c r="AV199" i="1"/>
  <c r="AS199" i="1"/>
  <c r="AP199" i="1"/>
  <c r="AM199" i="1"/>
  <c r="V199" i="1"/>
  <c r="W199" i="1" s="1"/>
  <c r="T199" i="1"/>
  <c r="DR199" i="1"/>
  <c r="DE198" i="1"/>
  <c r="AF198" i="1" s="1"/>
  <c r="DD198" i="1"/>
  <c r="CY198" i="1"/>
  <c r="CK198" i="1"/>
  <c r="CH198" i="1"/>
  <c r="CE198" i="1"/>
  <c r="CB198" i="1"/>
  <c r="BW198" i="1"/>
  <c r="BY198" i="1" s="1"/>
  <c r="BV198" i="1"/>
  <c r="BQ198" i="1"/>
  <c r="BN198" i="1"/>
  <c r="BK198" i="1"/>
  <c r="BH198" i="1"/>
  <c r="BE198" i="1"/>
  <c r="BB198" i="1"/>
  <c r="AY198" i="1"/>
  <c r="AV198" i="1"/>
  <c r="AS198" i="1"/>
  <c r="AP198" i="1"/>
  <c r="AM198" i="1"/>
  <c r="AA198" i="1"/>
  <c r="V198" i="1"/>
  <c r="W198" i="1" s="1"/>
  <c r="T198" i="1"/>
  <c r="DR198" i="1"/>
  <c r="DE162" i="1"/>
  <c r="DD162" i="1"/>
  <c r="CY162" i="1"/>
  <c r="CK162" i="1"/>
  <c r="CH162" i="1"/>
  <c r="CE162" i="1"/>
  <c r="CB162" i="1"/>
  <c r="BW162" i="1"/>
  <c r="BY162" i="1" s="1"/>
  <c r="BV162" i="1"/>
  <c r="BQ162" i="1"/>
  <c r="BN162" i="1"/>
  <c r="BK162" i="1"/>
  <c r="BH162" i="1"/>
  <c r="BE162" i="1"/>
  <c r="BB162" i="1"/>
  <c r="AY162" i="1"/>
  <c r="AV162" i="1"/>
  <c r="AS162" i="1"/>
  <c r="AP162" i="1"/>
  <c r="AM162" i="1"/>
  <c r="V162" i="1"/>
  <c r="W162" i="1" s="1"/>
  <c r="T162" i="1"/>
  <c r="DE160" i="1"/>
  <c r="AF160" i="1" s="1"/>
  <c r="DD160" i="1"/>
  <c r="CY160" i="1"/>
  <c r="CK160" i="1"/>
  <c r="CH160" i="1"/>
  <c r="CE160" i="1"/>
  <c r="CB160" i="1"/>
  <c r="BW160" i="1"/>
  <c r="BY160" i="1" s="1"/>
  <c r="BV160" i="1"/>
  <c r="BQ160" i="1"/>
  <c r="BN160" i="1"/>
  <c r="BK160" i="1"/>
  <c r="BH160" i="1"/>
  <c r="BE160" i="1"/>
  <c r="BB160" i="1"/>
  <c r="AY160" i="1"/>
  <c r="AV160" i="1"/>
  <c r="AS160" i="1"/>
  <c r="AP160" i="1"/>
  <c r="AM160" i="1"/>
  <c r="V160" i="1"/>
  <c r="W160" i="1" s="1"/>
  <c r="T160" i="1"/>
  <c r="DR160" i="1"/>
  <c r="AC119" i="1" l="1"/>
  <c r="AJ119" i="1" s="1"/>
  <c r="Z230" i="1"/>
  <c r="AC230" i="1" s="1"/>
  <c r="AJ230" i="1" s="1"/>
  <c r="AC120" i="1"/>
  <c r="AJ120" i="1" s="1"/>
  <c r="Y198" i="1"/>
  <c r="DR162" i="1"/>
  <c r="Y162" i="1" s="1"/>
  <c r="Y160" i="1"/>
  <c r="Y199" i="1"/>
  <c r="DR200" i="1"/>
  <c r="Y200" i="1" s="1"/>
  <c r="DR131" i="1"/>
  <c r="Y131" i="1" s="1"/>
  <c r="DR88" i="1"/>
  <c r="Y88" i="1" s="1"/>
  <c r="AC122" i="1"/>
  <c r="AJ122" i="1" s="1"/>
  <c r="AC121" i="1"/>
  <c r="AJ121" i="1" s="1"/>
  <c r="AI121" i="1"/>
  <c r="R88" i="1"/>
  <c r="AB88" i="1" s="1"/>
  <c r="AI122" i="1"/>
  <c r="AI119" i="1"/>
  <c r="AI120" i="1"/>
  <c r="P88" i="1"/>
  <c r="X88" i="1" s="1"/>
  <c r="BS131" i="1"/>
  <c r="P131" i="1" s="1"/>
  <c r="CI131" i="1"/>
  <c r="R131" i="1" s="1"/>
  <c r="AB131" i="1" s="1"/>
  <c r="BS200" i="1"/>
  <c r="P200" i="1" s="1"/>
  <c r="X200" i="1" s="1"/>
  <c r="CI200" i="1"/>
  <c r="R200" i="1" s="1"/>
  <c r="AA200" i="1" s="1"/>
  <c r="AB200" i="1" s="1"/>
  <c r="BS198" i="1"/>
  <c r="P198" i="1" s="1"/>
  <c r="BS199" i="1"/>
  <c r="P199" i="1" s="1"/>
  <c r="X199" i="1" s="1"/>
  <c r="CI199" i="1"/>
  <c r="R199" i="1" s="1"/>
  <c r="AA199" i="1" s="1"/>
  <c r="AB199" i="1" s="1"/>
  <c r="CI198" i="1"/>
  <c r="R198" i="1" s="1"/>
  <c r="AB198" i="1" s="1"/>
  <c r="CI162" i="1"/>
  <c r="R162" i="1" s="1"/>
  <c r="AA162" i="1" s="1"/>
  <c r="AB162" i="1" s="1"/>
  <c r="CI160" i="1"/>
  <c r="R160" i="1" s="1"/>
  <c r="AA160" i="1" s="1"/>
  <c r="AB160" i="1" s="1"/>
  <c r="BS162" i="1"/>
  <c r="P162" i="1" s="1"/>
  <c r="BS160" i="1"/>
  <c r="P160" i="1" s="1"/>
  <c r="X160" i="1" s="1"/>
  <c r="AF162" i="1"/>
  <c r="AG162" i="1" l="1"/>
  <c r="X162" i="1"/>
  <c r="AG198" i="1"/>
  <c r="X198" i="1"/>
  <c r="Z198" i="1" s="1"/>
  <c r="AG131" i="1"/>
  <c r="X131" i="1"/>
  <c r="Z131" i="1" s="1"/>
  <c r="AI230" i="1"/>
  <c r="AG88" i="1"/>
  <c r="AG199" i="1"/>
  <c r="Z88" i="1"/>
  <c r="AD88" i="1"/>
  <c r="AE88" i="1"/>
  <c r="AD200" i="1"/>
  <c r="AD131" i="1"/>
  <c r="AG200" i="1"/>
  <c r="AE131" i="1"/>
  <c r="Z199" i="1"/>
  <c r="Z200" i="1"/>
  <c r="AE200" i="1"/>
  <c r="AD199" i="1"/>
  <c r="AE199" i="1"/>
  <c r="AD198" i="1"/>
  <c r="AD162" i="1"/>
  <c r="AE160" i="1"/>
  <c r="AE198" i="1"/>
  <c r="AG160" i="1"/>
  <c r="Z160" i="1"/>
  <c r="AD160" i="1"/>
  <c r="AE162" i="1"/>
  <c r="Z162" i="1"/>
  <c r="AC198" i="1" l="1"/>
  <c r="DN198" i="1"/>
  <c r="AI198" i="1"/>
  <c r="DN160" i="1"/>
  <c r="AI160" i="1"/>
  <c r="DN200" i="1"/>
  <c r="AI200" i="1"/>
  <c r="DN131" i="1"/>
  <c r="AI131" i="1"/>
  <c r="DN88" i="1"/>
  <c r="AI88" i="1"/>
  <c r="DN162" i="1"/>
  <c r="AI162" i="1"/>
  <c r="DN199" i="1"/>
  <c r="AI199" i="1"/>
  <c r="AC199" i="1"/>
  <c r="AC131" i="1"/>
  <c r="AC88" i="1"/>
  <c r="AC200" i="1"/>
  <c r="AC160" i="1"/>
  <c r="AC162" i="1"/>
  <c r="AJ198" i="1" l="1"/>
  <c r="AJ200" i="1"/>
  <c r="AJ160" i="1"/>
  <c r="AJ131" i="1"/>
  <c r="AJ162" i="1"/>
  <c r="AJ88" i="1"/>
  <c r="AJ199" i="1"/>
  <c r="T7" i="1"/>
  <c r="T8" i="1"/>
  <c r="T9" i="1"/>
  <c r="T11" i="1"/>
  <c r="T12" i="1"/>
  <c r="T13" i="1"/>
  <c r="T14" i="1"/>
  <c r="T15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9" i="1"/>
  <c r="T70" i="1"/>
  <c r="T71" i="1"/>
  <c r="T72" i="1"/>
  <c r="T73" i="1"/>
  <c r="T74" i="1"/>
  <c r="T75" i="1"/>
  <c r="T77" i="1"/>
  <c r="T78" i="1"/>
  <c r="T79" i="1"/>
  <c r="T80" i="1"/>
  <c r="T81" i="1"/>
  <c r="T82" i="1"/>
  <c r="T83" i="1"/>
  <c r="T84" i="1"/>
  <c r="T85" i="1"/>
  <c r="T86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23" i="1"/>
  <c r="T125" i="1"/>
  <c r="T126" i="1"/>
  <c r="T127" i="1"/>
  <c r="T128" i="1"/>
  <c r="T129" i="1"/>
  <c r="T130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7" i="1"/>
  <c r="T189" i="1"/>
  <c r="T190" i="1"/>
  <c r="T191" i="1"/>
  <c r="T192" i="1"/>
  <c r="T193" i="1"/>
  <c r="T194" i="1"/>
  <c r="T195" i="1"/>
  <c r="T196" i="1"/>
  <c r="T197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2" i="1"/>
  <c r="T233" i="1"/>
  <c r="T234" i="1"/>
  <c r="T235" i="1"/>
  <c r="T236" i="1"/>
  <c r="T237" i="1"/>
  <c r="T238" i="1"/>
  <c r="T240" i="1"/>
  <c r="T241" i="1"/>
  <c r="T242" i="1"/>
  <c r="T243" i="1"/>
  <c r="T244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DE243" i="1" l="1"/>
  <c r="DE242" i="1"/>
  <c r="AF242" i="1" s="1"/>
  <c r="DD242" i="1"/>
  <c r="CY242" i="1"/>
  <c r="CK242" i="1"/>
  <c r="CH242" i="1"/>
  <c r="CE242" i="1"/>
  <c r="CB242" i="1"/>
  <c r="BW242" i="1"/>
  <c r="BY242" i="1" s="1"/>
  <c r="BV242" i="1"/>
  <c r="BQ242" i="1"/>
  <c r="BN242" i="1"/>
  <c r="BK242" i="1"/>
  <c r="BH242" i="1"/>
  <c r="BE242" i="1"/>
  <c r="BB242" i="1"/>
  <c r="AY242" i="1"/>
  <c r="AV242" i="1"/>
  <c r="AS242" i="1"/>
  <c r="AP242" i="1"/>
  <c r="AM242" i="1"/>
  <c r="V242" i="1"/>
  <c r="W242" i="1" s="1"/>
  <c r="DE212" i="1"/>
  <c r="AF212" i="1" s="1"/>
  <c r="DD212" i="1"/>
  <c r="CK212" i="1"/>
  <c r="CH212" i="1"/>
  <c r="CE212" i="1"/>
  <c r="CB212" i="1"/>
  <c r="BW212" i="1"/>
  <c r="BY212" i="1" s="1"/>
  <c r="BV212" i="1"/>
  <c r="BQ212" i="1"/>
  <c r="BN212" i="1"/>
  <c r="BK212" i="1"/>
  <c r="BH212" i="1"/>
  <c r="BE212" i="1"/>
  <c r="BB212" i="1"/>
  <c r="AY212" i="1"/>
  <c r="AV212" i="1"/>
  <c r="AS212" i="1"/>
  <c r="AP212" i="1"/>
  <c r="AM212" i="1"/>
  <c r="DE273" i="1"/>
  <c r="AF273" i="1" s="1"/>
  <c r="DD273" i="1"/>
  <c r="CY273" i="1"/>
  <c r="CK273" i="1"/>
  <c r="CH273" i="1"/>
  <c r="CE273" i="1"/>
  <c r="AM273" i="1"/>
  <c r="BS273" i="1" s="1"/>
  <c r="AA273" i="1"/>
  <c r="V273" i="1"/>
  <c r="W273" i="1" s="1"/>
  <c r="DE272" i="1"/>
  <c r="AF272" i="1" s="1"/>
  <c r="DD272" i="1"/>
  <c r="CY272" i="1"/>
  <c r="CK272" i="1"/>
  <c r="CH272" i="1"/>
  <c r="CE272" i="1"/>
  <c r="AM272" i="1"/>
  <c r="BS272" i="1" s="1"/>
  <c r="AA272" i="1"/>
  <c r="V272" i="1"/>
  <c r="W272" i="1" s="1"/>
  <c r="DD267" i="1"/>
  <c r="DE267" i="1"/>
  <c r="AF267" i="1" s="1"/>
  <c r="CY267" i="1"/>
  <c r="CK267" i="1"/>
  <c r="CH267" i="1"/>
  <c r="CI267" i="1" s="1"/>
  <c r="R267" i="1" s="1"/>
  <c r="AS267" i="1"/>
  <c r="AP267" i="1"/>
  <c r="AM267" i="1"/>
  <c r="AA267" i="1"/>
  <c r="V267" i="1"/>
  <c r="W267" i="1" s="1"/>
  <c r="DR273" i="1" l="1"/>
  <c r="Y273" i="1" s="1"/>
  <c r="DR272" i="1"/>
  <c r="Y272" i="1" s="1"/>
  <c r="V212" i="1"/>
  <c r="W212" i="1" s="1"/>
  <c r="DR212" i="1"/>
  <c r="Y212" i="1" s="1"/>
  <c r="DR242" i="1"/>
  <c r="Y242" i="1" s="1"/>
  <c r="DR267" i="1"/>
  <c r="Y267" i="1" s="1"/>
  <c r="CI273" i="1"/>
  <c r="R273" i="1" s="1"/>
  <c r="AB273" i="1" s="1"/>
  <c r="P273" i="1"/>
  <c r="X273" i="1" s="1"/>
  <c r="BS242" i="1"/>
  <c r="P242" i="1" s="1"/>
  <c r="CI242" i="1"/>
  <c r="R242" i="1" s="1"/>
  <c r="AA242" i="1" s="1"/>
  <c r="AB242" i="1" s="1"/>
  <c r="BS212" i="1"/>
  <c r="P212" i="1" s="1"/>
  <c r="CI212" i="1"/>
  <c r="R212" i="1" s="1"/>
  <c r="AA212" i="1" s="1"/>
  <c r="AB212" i="1" s="1"/>
  <c r="P272" i="1"/>
  <c r="AB267" i="1"/>
  <c r="BS267" i="1"/>
  <c r="P267" i="1" s="1"/>
  <c r="CI272" i="1"/>
  <c r="R272" i="1" s="1"/>
  <c r="AB272" i="1" s="1"/>
  <c r="AG272" i="1" l="1"/>
  <c r="X272" i="1"/>
  <c r="Z272" i="1" s="1"/>
  <c r="AG242" i="1"/>
  <c r="X242" i="1"/>
  <c r="Z242" i="1" s="1"/>
  <c r="AG267" i="1"/>
  <c r="X267" i="1"/>
  <c r="Z267" i="1" s="1"/>
  <c r="AG212" i="1"/>
  <c r="X212" i="1"/>
  <c r="Z212" i="1" s="1"/>
  <c r="AE273" i="1"/>
  <c r="DN273" i="1" s="1"/>
  <c r="AD273" i="1"/>
  <c r="AG273" i="1"/>
  <c r="AD242" i="1"/>
  <c r="AE242" i="1"/>
  <c r="DN242" i="1" s="1"/>
  <c r="Z273" i="1"/>
  <c r="AD212" i="1"/>
  <c r="AE212" i="1"/>
  <c r="AE272" i="1"/>
  <c r="AD272" i="1"/>
  <c r="DN272" i="1" s="1"/>
  <c r="AD267" i="1"/>
  <c r="DN267" i="1" s="1"/>
  <c r="AE267" i="1"/>
  <c r="AC272" i="1" l="1"/>
  <c r="AJ272" i="1" s="1"/>
  <c r="AC212" i="1"/>
  <c r="AJ212" i="1" s="1"/>
  <c r="AC267" i="1"/>
  <c r="AJ267" i="1" s="1"/>
  <c r="AI242" i="1"/>
  <c r="AC273" i="1"/>
  <c r="AJ273" i="1" s="1"/>
  <c r="AI273" i="1"/>
  <c r="AC242" i="1"/>
  <c r="AJ242" i="1" s="1"/>
  <c r="AI272" i="1"/>
  <c r="DN212" i="1"/>
  <c r="AI212" i="1"/>
  <c r="AI267" i="1"/>
  <c r="Q71" i="1" l="1"/>
  <c r="V71" i="1"/>
  <c r="W71" i="1" s="1"/>
  <c r="AM71" i="1"/>
  <c r="AP71" i="1"/>
  <c r="AS71" i="1"/>
  <c r="AV71" i="1"/>
  <c r="AY71" i="1"/>
  <c r="BB71" i="1"/>
  <c r="BE71" i="1"/>
  <c r="BH71" i="1"/>
  <c r="BK71" i="1"/>
  <c r="BN71" i="1"/>
  <c r="BQ71" i="1"/>
  <c r="BV71" i="1"/>
  <c r="BW71" i="1"/>
  <c r="BY71" i="1" s="1"/>
  <c r="CB71" i="1"/>
  <c r="CE71" i="1"/>
  <c r="CH71" i="1"/>
  <c r="CK71" i="1"/>
  <c r="CY71" i="1"/>
  <c r="DD71" i="1"/>
  <c r="DE71" i="1"/>
  <c r="AF71" i="1" s="1"/>
  <c r="Q70" i="1"/>
  <c r="DR70" i="1" s="1"/>
  <c r="V70" i="1"/>
  <c r="W70" i="1" s="1"/>
  <c r="AM70" i="1"/>
  <c r="AP70" i="1"/>
  <c r="AS70" i="1"/>
  <c r="AV70" i="1"/>
  <c r="AY70" i="1"/>
  <c r="BB70" i="1"/>
  <c r="BE70" i="1"/>
  <c r="BH70" i="1"/>
  <c r="BK70" i="1"/>
  <c r="BN70" i="1"/>
  <c r="BQ70" i="1"/>
  <c r="BV70" i="1"/>
  <c r="BW70" i="1"/>
  <c r="BY70" i="1" s="1"/>
  <c r="CB70" i="1"/>
  <c r="CE70" i="1"/>
  <c r="CH70" i="1"/>
  <c r="CK70" i="1"/>
  <c r="CY70" i="1"/>
  <c r="DD70" i="1"/>
  <c r="DE70" i="1"/>
  <c r="AF70" i="1" s="1"/>
  <c r="DR71" i="1" l="1"/>
  <c r="Y71" i="1" s="1"/>
  <c r="Y70" i="1"/>
  <c r="CI70" i="1"/>
  <c r="R70" i="1" s="1"/>
  <c r="AA70" i="1" s="1"/>
  <c r="AB70" i="1" s="1"/>
  <c r="BS71" i="1"/>
  <c r="P71" i="1" s="1"/>
  <c r="X71" i="1" s="1"/>
  <c r="BS70" i="1"/>
  <c r="P70" i="1" s="1"/>
  <c r="CI71" i="1"/>
  <c r="R71" i="1" s="1"/>
  <c r="AA71" i="1" s="1"/>
  <c r="AB71" i="1" s="1"/>
  <c r="AG70" i="1" l="1"/>
  <c r="X70" i="1"/>
  <c r="Z70" i="1" s="1"/>
  <c r="Z71" i="1"/>
  <c r="AG71" i="1"/>
  <c r="AD70" i="1"/>
  <c r="AE70" i="1"/>
  <c r="AE71" i="1"/>
  <c r="AD71" i="1"/>
  <c r="DE132" i="1"/>
  <c r="DD132" i="1"/>
  <c r="CY132" i="1"/>
  <c r="CK132" i="1"/>
  <c r="CH132" i="1"/>
  <c r="CE132" i="1"/>
  <c r="CB132" i="1"/>
  <c r="BW132" i="1"/>
  <c r="BY132" i="1" s="1"/>
  <c r="BV132" i="1"/>
  <c r="BQ132" i="1"/>
  <c r="BN132" i="1"/>
  <c r="BK132" i="1"/>
  <c r="BH132" i="1"/>
  <c r="BE132" i="1"/>
  <c r="BB132" i="1"/>
  <c r="AY132" i="1"/>
  <c r="AV132" i="1"/>
  <c r="AS132" i="1"/>
  <c r="AP132" i="1"/>
  <c r="AM132" i="1"/>
  <c r="AA132" i="1"/>
  <c r="V132" i="1"/>
  <c r="W132" i="1" s="1"/>
  <c r="Q132" i="1"/>
  <c r="DR132" i="1" s="1"/>
  <c r="DN71" i="1" l="1"/>
  <c r="AI71" i="1"/>
  <c r="DN70" i="1"/>
  <c r="AI70" i="1"/>
  <c r="Y132" i="1"/>
  <c r="AC70" i="1"/>
  <c r="AC71" i="1"/>
  <c r="CI132" i="1"/>
  <c r="R132" i="1" s="1"/>
  <c r="AB132" i="1" s="1"/>
  <c r="BS132" i="1"/>
  <c r="P132" i="1" s="1"/>
  <c r="AF132" i="1"/>
  <c r="AG132" i="1" l="1"/>
  <c r="X132" i="1"/>
  <c r="Z132" i="1" s="1"/>
  <c r="AJ71" i="1"/>
  <c r="AJ70" i="1"/>
  <c r="AD132" i="1"/>
  <c r="AE132" i="1"/>
  <c r="AC132" i="1" l="1"/>
  <c r="AJ132" i="1" s="1"/>
  <c r="DN132" i="1"/>
  <c r="DE269" i="1"/>
  <c r="AF269" i="1" s="1"/>
  <c r="DD269" i="1"/>
  <c r="CY269" i="1"/>
  <c r="CK269" i="1"/>
  <c r="CH269" i="1"/>
  <c r="CE269" i="1"/>
  <c r="CB269" i="1"/>
  <c r="BW269" i="1"/>
  <c r="BY269" i="1" s="1"/>
  <c r="BV269" i="1"/>
  <c r="BQ269" i="1"/>
  <c r="BN269" i="1"/>
  <c r="BK269" i="1"/>
  <c r="BH269" i="1"/>
  <c r="BE269" i="1"/>
  <c r="BB269" i="1"/>
  <c r="AY269" i="1"/>
  <c r="AV269" i="1"/>
  <c r="AS269" i="1"/>
  <c r="AP269" i="1"/>
  <c r="AM269" i="1"/>
  <c r="V269" i="1"/>
  <c r="W269" i="1" s="1"/>
  <c r="DD12" i="1"/>
  <c r="DE12" i="1"/>
  <c r="AF12" i="1" s="1"/>
  <c r="AI132" i="1" l="1"/>
  <c r="DR269" i="1"/>
  <c r="Y269" i="1" s="1"/>
  <c r="BS269" i="1"/>
  <c r="P269" i="1" s="1"/>
  <c r="X269" i="1" s="1"/>
  <c r="CI269" i="1"/>
  <c r="R269" i="1" s="1"/>
  <c r="AA269" i="1" s="1"/>
  <c r="AB269" i="1" s="1"/>
  <c r="DD299" i="1"/>
  <c r="DD298" i="1"/>
  <c r="DD297" i="1"/>
  <c r="DD296" i="1"/>
  <c r="DD294" i="1"/>
  <c r="DD293" i="1"/>
  <c r="DD292" i="1"/>
  <c r="DD291" i="1"/>
  <c r="DD290" i="1"/>
  <c r="DD289" i="1"/>
  <c r="DD288" i="1"/>
  <c r="DD287" i="1"/>
  <c r="DD286" i="1"/>
  <c r="DD285" i="1"/>
  <c r="DD284" i="1"/>
  <c r="DD283" i="1"/>
  <c r="DD282" i="1"/>
  <c r="DD281" i="1"/>
  <c r="DD280" i="1"/>
  <c r="DD279" i="1"/>
  <c r="DD278" i="1"/>
  <c r="DD277" i="1"/>
  <c r="DD271" i="1"/>
  <c r="DD270" i="1"/>
  <c r="DD274" i="1"/>
  <c r="DD265" i="1"/>
  <c r="DD264" i="1"/>
  <c r="DD268" i="1"/>
  <c r="DD266" i="1"/>
  <c r="DD263" i="1"/>
  <c r="DD262" i="1"/>
  <c r="DD261" i="1"/>
  <c r="DD260" i="1"/>
  <c r="DD276" i="1"/>
  <c r="DD275" i="1"/>
  <c r="DD259" i="1"/>
  <c r="DD258" i="1"/>
  <c r="DD257" i="1"/>
  <c r="DD256" i="1"/>
  <c r="DD255" i="1"/>
  <c r="DD254" i="1"/>
  <c r="DD253" i="1"/>
  <c r="DD252" i="1"/>
  <c r="DD251" i="1"/>
  <c r="DD250" i="1"/>
  <c r="DD249" i="1"/>
  <c r="DD248" i="1"/>
  <c r="DD247" i="1"/>
  <c r="DD244" i="1"/>
  <c r="DD243" i="1"/>
  <c r="DD241" i="1"/>
  <c r="DD240" i="1"/>
  <c r="DD238" i="1"/>
  <c r="DD237" i="1"/>
  <c r="DD236" i="1"/>
  <c r="DD235" i="1"/>
  <c r="DD234" i="1"/>
  <c r="DD233" i="1"/>
  <c r="DD232" i="1"/>
  <c r="DD229" i="1"/>
  <c r="DD228" i="1"/>
  <c r="DD227" i="1"/>
  <c r="DD226" i="1"/>
  <c r="DD225" i="1"/>
  <c r="DD224" i="1"/>
  <c r="DD223" i="1"/>
  <c r="DD222" i="1"/>
  <c r="DD221" i="1"/>
  <c r="DD220" i="1"/>
  <c r="DD219" i="1"/>
  <c r="DD218" i="1"/>
  <c r="DD217" i="1"/>
  <c r="DD216" i="1"/>
  <c r="DD215" i="1"/>
  <c r="DD214" i="1"/>
  <c r="DD213" i="1"/>
  <c r="DD211" i="1"/>
  <c r="DD210" i="1"/>
  <c r="DD209" i="1"/>
  <c r="DD208" i="1"/>
  <c r="DD207" i="1"/>
  <c r="DD206" i="1"/>
  <c r="DD205" i="1"/>
  <c r="DD204" i="1"/>
  <c r="DD203" i="1"/>
  <c r="DD202" i="1"/>
  <c r="DD197" i="1"/>
  <c r="DD196" i="1"/>
  <c r="DD194" i="1"/>
  <c r="DD195" i="1"/>
  <c r="DD193" i="1"/>
  <c r="DD192" i="1"/>
  <c r="DD191" i="1"/>
  <c r="DD190" i="1"/>
  <c r="DD189" i="1"/>
  <c r="DD187" i="1"/>
  <c r="DD185" i="1"/>
  <c r="DD184" i="1"/>
  <c r="DD183" i="1"/>
  <c r="DD182" i="1"/>
  <c r="DD181" i="1"/>
  <c r="DD180" i="1"/>
  <c r="DD179" i="1"/>
  <c r="DD178" i="1"/>
  <c r="DD177" i="1"/>
  <c r="DD176" i="1"/>
  <c r="DD175" i="1"/>
  <c r="DD174" i="1"/>
  <c r="DD173" i="1"/>
  <c r="DD172" i="1"/>
  <c r="DD171" i="1"/>
  <c r="DD170" i="1"/>
  <c r="DD169" i="1"/>
  <c r="DD159" i="1"/>
  <c r="DD158" i="1"/>
  <c r="DD157" i="1"/>
  <c r="DD156" i="1"/>
  <c r="DD155" i="1"/>
  <c r="DD154" i="1"/>
  <c r="DD153" i="1"/>
  <c r="DD152" i="1"/>
  <c r="DD151" i="1"/>
  <c r="DD150" i="1"/>
  <c r="DD149" i="1"/>
  <c r="DD148" i="1"/>
  <c r="DD147" i="1"/>
  <c r="DD146" i="1"/>
  <c r="DD145" i="1"/>
  <c r="DD144" i="1"/>
  <c r="DD143" i="1"/>
  <c r="DD142" i="1"/>
  <c r="DD141" i="1"/>
  <c r="DD140" i="1"/>
  <c r="DD139" i="1"/>
  <c r="DD138" i="1"/>
  <c r="DD137" i="1"/>
  <c r="DD136" i="1"/>
  <c r="DD135" i="1"/>
  <c r="DD134" i="1"/>
  <c r="DD133" i="1"/>
  <c r="DD130" i="1"/>
  <c r="DD129" i="1"/>
  <c r="DD128" i="1"/>
  <c r="DD127" i="1"/>
  <c r="DD126" i="1"/>
  <c r="DD125" i="1"/>
  <c r="DD124" i="1"/>
  <c r="DD123" i="1"/>
  <c r="DD118" i="1"/>
  <c r="DD117" i="1"/>
  <c r="DD116" i="1"/>
  <c r="DD115" i="1"/>
  <c r="DD114" i="1"/>
  <c r="DD113" i="1"/>
  <c r="DD112" i="1"/>
  <c r="DD111" i="1"/>
  <c r="DD110" i="1"/>
  <c r="DD109" i="1"/>
  <c r="DD108" i="1"/>
  <c r="DD107" i="1"/>
  <c r="DD106" i="1"/>
  <c r="DD105" i="1"/>
  <c r="DD104" i="1"/>
  <c r="DD103" i="1"/>
  <c r="DD102" i="1"/>
  <c r="DD101" i="1"/>
  <c r="DD100" i="1"/>
  <c r="DD99" i="1"/>
  <c r="DD98" i="1"/>
  <c r="DD97" i="1"/>
  <c r="DD96" i="1"/>
  <c r="DD95" i="1"/>
  <c r="DD94" i="1"/>
  <c r="DD93" i="1"/>
  <c r="DD92" i="1"/>
  <c r="DD91" i="1"/>
  <c r="DD90" i="1"/>
  <c r="DD86" i="1"/>
  <c r="DD85" i="1"/>
  <c r="DD84" i="1"/>
  <c r="DD83" i="1"/>
  <c r="DD82" i="1"/>
  <c r="DD81" i="1"/>
  <c r="DD80" i="1"/>
  <c r="DD79" i="1"/>
  <c r="DD78" i="1"/>
  <c r="DD77" i="1"/>
  <c r="DD74" i="1"/>
  <c r="DD73" i="1"/>
  <c r="DD75" i="1"/>
  <c r="DD72" i="1"/>
  <c r="DD69" i="1"/>
  <c r="DD65" i="1"/>
  <c r="DD64" i="1"/>
  <c r="DD63" i="1"/>
  <c r="DD62" i="1"/>
  <c r="DD61" i="1"/>
  <c r="DD60" i="1"/>
  <c r="DD59" i="1"/>
  <c r="DD58" i="1"/>
  <c r="DD57" i="1"/>
  <c r="DD56" i="1"/>
  <c r="DD55" i="1"/>
  <c r="DD54" i="1"/>
  <c r="DD53" i="1"/>
  <c r="DD52" i="1"/>
  <c r="DD51" i="1"/>
  <c r="DD50" i="1"/>
  <c r="DD49" i="1"/>
  <c r="DD48" i="1"/>
  <c r="DD47" i="1"/>
  <c r="DD46" i="1"/>
  <c r="DD45" i="1"/>
  <c r="DD44" i="1"/>
  <c r="DD43" i="1"/>
  <c r="DD42" i="1"/>
  <c r="DD41" i="1"/>
  <c r="DD40" i="1"/>
  <c r="DD39" i="1"/>
  <c r="DD38" i="1"/>
  <c r="DD37" i="1"/>
  <c r="DD36" i="1"/>
  <c r="DD35" i="1"/>
  <c r="DD34" i="1"/>
  <c r="DD33" i="1"/>
  <c r="DD32" i="1"/>
  <c r="DD31" i="1"/>
  <c r="DD30" i="1"/>
  <c r="DD29" i="1"/>
  <c r="DD28" i="1"/>
  <c r="DD27" i="1"/>
  <c r="DD26" i="1"/>
  <c r="DD25" i="1"/>
  <c r="DD24" i="1"/>
  <c r="DD23" i="1"/>
  <c r="DD22" i="1"/>
  <c r="DD21" i="1"/>
  <c r="DD20" i="1"/>
  <c r="DD19" i="1"/>
  <c r="DD14" i="1"/>
  <c r="DD15" i="1"/>
  <c r="DD13" i="1"/>
  <c r="DD11" i="1"/>
  <c r="DD9" i="1"/>
  <c r="DD8" i="1"/>
  <c r="DD7" i="1"/>
  <c r="DE299" i="1"/>
  <c r="AF299" i="1" s="1"/>
  <c r="DE298" i="1"/>
  <c r="AF298" i="1" s="1"/>
  <c r="DE297" i="1"/>
  <c r="AF297" i="1" s="1"/>
  <c r="DE296" i="1"/>
  <c r="AF296" i="1" s="1"/>
  <c r="DE294" i="1"/>
  <c r="AF294" i="1" s="1"/>
  <c r="DE293" i="1"/>
  <c r="AF293" i="1" s="1"/>
  <c r="DE292" i="1"/>
  <c r="AF292" i="1" s="1"/>
  <c r="DE291" i="1"/>
  <c r="AF291" i="1" s="1"/>
  <c r="DE290" i="1"/>
  <c r="AF290" i="1" s="1"/>
  <c r="DE289" i="1"/>
  <c r="AF289" i="1" s="1"/>
  <c r="DE288" i="1"/>
  <c r="AF288" i="1" s="1"/>
  <c r="DE287" i="1"/>
  <c r="AF287" i="1" s="1"/>
  <c r="DE286" i="1"/>
  <c r="AF286" i="1" s="1"/>
  <c r="DE285" i="1"/>
  <c r="AF285" i="1" s="1"/>
  <c r="DE284" i="1"/>
  <c r="AF284" i="1" s="1"/>
  <c r="DE283" i="1"/>
  <c r="AF283" i="1" s="1"/>
  <c r="DE282" i="1"/>
  <c r="AF282" i="1" s="1"/>
  <c r="DE281" i="1"/>
  <c r="AF281" i="1" s="1"/>
  <c r="DE280" i="1"/>
  <c r="AF280" i="1" s="1"/>
  <c r="DE279" i="1"/>
  <c r="AF279" i="1" s="1"/>
  <c r="DE278" i="1"/>
  <c r="AF278" i="1" s="1"/>
  <c r="DE277" i="1"/>
  <c r="AF277" i="1" s="1"/>
  <c r="DE271" i="1"/>
  <c r="AF271" i="1" s="1"/>
  <c r="DE270" i="1"/>
  <c r="AF270" i="1" s="1"/>
  <c r="DE274" i="1"/>
  <c r="AF274" i="1" s="1"/>
  <c r="DE265" i="1"/>
  <c r="AF265" i="1" s="1"/>
  <c r="DE264" i="1"/>
  <c r="AF264" i="1" s="1"/>
  <c r="DE268" i="1"/>
  <c r="AF268" i="1" s="1"/>
  <c r="DE266" i="1"/>
  <c r="AF266" i="1" s="1"/>
  <c r="DE262" i="1"/>
  <c r="AF262" i="1" s="1"/>
  <c r="DE261" i="1"/>
  <c r="AF261" i="1" s="1"/>
  <c r="DE260" i="1"/>
  <c r="AF260" i="1" s="1"/>
  <c r="DE276" i="1"/>
  <c r="AF276" i="1" s="1"/>
  <c r="DE275" i="1"/>
  <c r="AF275" i="1" s="1"/>
  <c r="DE259" i="1"/>
  <c r="AF259" i="1" s="1"/>
  <c r="DE258" i="1"/>
  <c r="AF258" i="1" s="1"/>
  <c r="DE257" i="1"/>
  <c r="AF257" i="1" s="1"/>
  <c r="DE256" i="1"/>
  <c r="AF256" i="1" s="1"/>
  <c r="DE255" i="1"/>
  <c r="AF255" i="1" s="1"/>
  <c r="DE254" i="1"/>
  <c r="AF254" i="1" s="1"/>
  <c r="DE253" i="1"/>
  <c r="AF253" i="1" s="1"/>
  <c r="DE252" i="1"/>
  <c r="AF252" i="1" s="1"/>
  <c r="DE251" i="1"/>
  <c r="AF251" i="1" s="1"/>
  <c r="DE250" i="1"/>
  <c r="AF250" i="1" s="1"/>
  <c r="DE249" i="1"/>
  <c r="AF249" i="1" s="1"/>
  <c r="DE248" i="1"/>
  <c r="AF248" i="1" s="1"/>
  <c r="DE247" i="1"/>
  <c r="AF247" i="1" s="1"/>
  <c r="DE244" i="1"/>
  <c r="AF244" i="1" s="1"/>
  <c r="AF243" i="1"/>
  <c r="DE241" i="1"/>
  <c r="AF241" i="1" s="1"/>
  <c r="DE240" i="1"/>
  <c r="AF240" i="1" s="1"/>
  <c r="DE238" i="1"/>
  <c r="AF238" i="1" s="1"/>
  <c r="DE237" i="1"/>
  <c r="AF237" i="1" s="1"/>
  <c r="DE236" i="1"/>
  <c r="AF236" i="1" s="1"/>
  <c r="DE235" i="1"/>
  <c r="AF235" i="1" s="1"/>
  <c r="DE234" i="1"/>
  <c r="AF234" i="1" s="1"/>
  <c r="DE233" i="1"/>
  <c r="AF233" i="1" s="1"/>
  <c r="DE232" i="1"/>
  <c r="AF232" i="1" s="1"/>
  <c r="DE229" i="1"/>
  <c r="AF229" i="1" s="1"/>
  <c r="DE228" i="1"/>
  <c r="AF228" i="1" s="1"/>
  <c r="DE227" i="1"/>
  <c r="AF227" i="1" s="1"/>
  <c r="DE226" i="1"/>
  <c r="AF226" i="1" s="1"/>
  <c r="DE225" i="1"/>
  <c r="AF225" i="1" s="1"/>
  <c r="DE224" i="1"/>
  <c r="AF224" i="1" s="1"/>
  <c r="DE223" i="1"/>
  <c r="AF223" i="1" s="1"/>
  <c r="DE222" i="1"/>
  <c r="AF222" i="1" s="1"/>
  <c r="DE221" i="1"/>
  <c r="AF221" i="1" s="1"/>
  <c r="DE220" i="1"/>
  <c r="AF220" i="1" s="1"/>
  <c r="DE219" i="1"/>
  <c r="AF219" i="1" s="1"/>
  <c r="DE218" i="1"/>
  <c r="AF218" i="1" s="1"/>
  <c r="DE217" i="1"/>
  <c r="AF217" i="1" s="1"/>
  <c r="DE216" i="1"/>
  <c r="AF216" i="1" s="1"/>
  <c r="DE215" i="1"/>
  <c r="AF215" i="1" s="1"/>
  <c r="DE214" i="1"/>
  <c r="AF214" i="1" s="1"/>
  <c r="DE213" i="1"/>
  <c r="AF213" i="1" s="1"/>
  <c r="DE211" i="1"/>
  <c r="AF211" i="1" s="1"/>
  <c r="DE210" i="1"/>
  <c r="AF210" i="1" s="1"/>
  <c r="DE209" i="1"/>
  <c r="AF209" i="1" s="1"/>
  <c r="DE208" i="1"/>
  <c r="AF208" i="1" s="1"/>
  <c r="DE207" i="1"/>
  <c r="AF207" i="1" s="1"/>
  <c r="DE206" i="1"/>
  <c r="AF206" i="1" s="1"/>
  <c r="DE205" i="1"/>
  <c r="AF205" i="1" s="1"/>
  <c r="DE204" i="1"/>
  <c r="AF204" i="1" s="1"/>
  <c r="DE203" i="1"/>
  <c r="AF203" i="1" s="1"/>
  <c r="DE202" i="1"/>
  <c r="AF202" i="1" s="1"/>
  <c r="DE197" i="1"/>
  <c r="AF197" i="1" s="1"/>
  <c r="DE196" i="1"/>
  <c r="AF196" i="1" s="1"/>
  <c r="DE194" i="1"/>
  <c r="AF194" i="1" s="1"/>
  <c r="DE195" i="1"/>
  <c r="AF195" i="1" s="1"/>
  <c r="DE193" i="1"/>
  <c r="AF193" i="1" s="1"/>
  <c r="DE192" i="1"/>
  <c r="AF192" i="1" s="1"/>
  <c r="DE191" i="1"/>
  <c r="AF191" i="1" s="1"/>
  <c r="DE190" i="1"/>
  <c r="AF190" i="1" s="1"/>
  <c r="DE189" i="1"/>
  <c r="AF189" i="1" s="1"/>
  <c r="DE187" i="1"/>
  <c r="AF187" i="1" s="1"/>
  <c r="DE185" i="1"/>
  <c r="AF185" i="1" s="1"/>
  <c r="DE184" i="1"/>
  <c r="AF184" i="1" s="1"/>
  <c r="DE183" i="1"/>
  <c r="AF183" i="1" s="1"/>
  <c r="DE182" i="1"/>
  <c r="AF182" i="1" s="1"/>
  <c r="DE181" i="1"/>
  <c r="AF181" i="1" s="1"/>
  <c r="DE180" i="1"/>
  <c r="AF180" i="1" s="1"/>
  <c r="DE179" i="1"/>
  <c r="AF179" i="1" s="1"/>
  <c r="DE178" i="1"/>
  <c r="AF178" i="1" s="1"/>
  <c r="DE177" i="1"/>
  <c r="AF177" i="1" s="1"/>
  <c r="DE176" i="1"/>
  <c r="AF176" i="1" s="1"/>
  <c r="DE175" i="1"/>
  <c r="AF175" i="1" s="1"/>
  <c r="DE174" i="1"/>
  <c r="AF174" i="1" s="1"/>
  <c r="DE173" i="1"/>
  <c r="AF173" i="1" s="1"/>
  <c r="DE172" i="1"/>
  <c r="AF172" i="1" s="1"/>
  <c r="DE171" i="1"/>
  <c r="AF171" i="1" s="1"/>
  <c r="DE170" i="1"/>
  <c r="AF170" i="1" s="1"/>
  <c r="DE169" i="1"/>
  <c r="AF169" i="1" s="1"/>
  <c r="DE159" i="1"/>
  <c r="AF159" i="1" s="1"/>
  <c r="DE158" i="1"/>
  <c r="AF158" i="1" s="1"/>
  <c r="DE157" i="1"/>
  <c r="AF157" i="1" s="1"/>
  <c r="DE156" i="1"/>
  <c r="AF156" i="1" s="1"/>
  <c r="DE155" i="1"/>
  <c r="AF155" i="1" s="1"/>
  <c r="DE154" i="1"/>
  <c r="AF154" i="1" s="1"/>
  <c r="DE153" i="1"/>
  <c r="AF153" i="1" s="1"/>
  <c r="DE152" i="1"/>
  <c r="AF152" i="1" s="1"/>
  <c r="DE151" i="1"/>
  <c r="AF151" i="1" s="1"/>
  <c r="DE150" i="1"/>
  <c r="AF150" i="1" s="1"/>
  <c r="DE149" i="1"/>
  <c r="AF149" i="1" s="1"/>
  <c r="DE148" i="1"/>
  <c r="AF148" i="1" s="1"/>
  <c r="DE147" i="1"/>
  <c r="AF147" i="1" s="1"/>
  <c r="DE146" i="1"/>
  <c r="AF146" i="1" s="1"/>
  <c r="DE145" i="1"/>
  <c r="AF145" i="1" s="1"/>
  <c r="DE144" i="1"/>
  <c r="AF144" i="1" s="1"/>
  <c r="DE143" i="1"/>
  <c r="AF143" i="1" s="1"/>
  <c r="DE142" i="1"/>
  <c r="AF142" i="1" s="1"/>
  <c r="DE141" i="1"/>
  <c r="AF141" i="1" s="1"/>
  <c r="DE140" i="1"/>
  <c r="AF140" i="1" s="1"/>
  <c r="DE139" i="1"/>
  <c r="AF139" i="1" s="1"/>
  <c r="DE138" i="1"/>
  <c r="AF138" i="1" s="1"/>
  <c r="DE137" i="1"/>
  <c r="AF137" i="1" s="1"/>
  <c r="DE136" i="1"/>
  <c r="AF136" i="1" s="1"/>
  <c r="DE135" i="1"/>
  <c r="AF135" i="1" s="1"/>
  <c r="DE134" i="1"/>
  <c r="AF134" i="1" s="1"/>
  <c r="DE133" i="1"/>
  <c r="AF133" i="1" s="1"/>
  <c r="DE130" i="1"/>
  <c r="AF130" i="1" s="1"/>
  <c r="DE129" i="1"/>
  <c r="AF129" i="1" s="1"/>
  <c r="DE128" i="1"/>
  <c r="AF128" i="1" s="1"/>
  <c r="DE127" i="1"/>
  <c r="AF127" i="1" s="1"/>
  <c r="DE126" i="1"/>
  <c r="AF126" i="1" s="1"/>
  <c r="DE125" i="1"/>
  <c r="AF125" i="1" s="1"/>
  <c r="DE124" i="1"/>
  <c r="AF124" i="1" s="1"/>
  <c r="DE123" i="1"/>
  <c r="AF123" i="1" s="1"/>
  <c r="DE118" i="1"/>
  <c r="AF118" i="1" s="1"/>
  <c r="DE117" i="1"/>
  <c r="AF117" i="1" s="1"/>
  <c r="DE116" i="1"/>
  <c r="AF116" i="1" s="1"/>
  <c r="DE115" i="1"/>
  <c r="AF115" i="1" s="1"/>
  <c r="DE114" i="1"/>
  <c r="AF114" i="1" s="1"/>
  <c r="DE113" i="1"/>
  <c r="AF113" i="1" s="1"/>
  <c r="DE112" i="1"/>
  <c r="AF112" i="1" s="1"/>
  <c r="DE111" i="1"/>
  <c r="AF111" i="1" s="1"/>
  <c r="DE110" i="1"/>
  <c r="AF110" i="1" s="1"/>
  <c r="DE109" i="1"/>
  <c r="AF109" i="1" s="1"/>
  <c r="DE108" i="1"/>
  <c r="AF108" i="1" s="1"/>
  <c r="DE107" i="1"/>
  <c r="AF107" i="1" s="1"/>
  <c r="DE106" i="1"/>
  <c r="AF106" i="1" s="1"/>
  <c r="DE105" i="1"/>
  <c r="AF105" i="1" s="1"/>
  <c r="DE104" i="1"/>
  <c r="AF104" i="1" s="1"/>
  <c r="DE103" i="1"/>
  <c r="AF103" i="1" s="1"/>
  <c r="DE102" i="1"/>
  <c r="AF102" i="1" s="1"/>
  <c r="DE101" i="1"/>
  <c r="AF101" i="1" s="1"/>
  <c r="DE100" i="1"/>
  <c r="AF100" i="1" s="1"/>
  <c r="DE99" i="1"/>
  <c r="AF99" i="1" s="1"/>
  <c r="DE98" i="1"/>
  <c r="AF98" i="1" s="1"/>
  <c r="DE97" i="1"/>
  <c r="AF97" i="1" s="1"/>
  <c r="DE96" i="1"/>
  <c r="AF96" i="1" s="1"/>
  <c r="DE95" i="1"/>
  <c r="AF95" i="1" s="1"/>
  <c r="DE94" i="1"/>
  <c r="AF94" i="1" s="1"/>
  <c r="DE93" i="1"/>
  <c r="AF93" i="1" s="1"/>
  <c r="DE92" i="1"/>
  <c r="AF92" i="1" s="1"/>
  <c r="DE91" i="1"/>
  <c r="AF91" i="1" s="1"/>
  <c r="DE90" i="1"/>
  <c r="AF90" i="1" s="1"/>
  <c r="DE86" i="1"/>
  <c r="AF86" i="1" s="1"/>
  <c r="DE85" i="1"/>
  <c r="AF85" i="1" s="1"/>
  <c r="DE84" i="1"/>
  <c r="AF84" i="1" s="1"/>
  <c r="DE83" i="1"/>
  <c r="AF83" i="1" s="1"/>
  <c r="DE82" i="1"/>
  <c r="AF82" i="1" s="1"/>
  <c r="DE81" i="1"/>
  <c r="AF81" i="1" s="1"/>
  <c r="DE80" i="1"/>
  <c r="AF80" i="1" s="1"/>
  <c r="DE79" i="1"/>
  <c r="AF79" i="1" s="1"/>
  <c r="DE78" i="1"/>
  <c r="AF78" i="1" s="1"/>
  <c r="DE77" i="1"/>
  <c r="AF77" i="1" s="1"/>
  <c r="DE74" i="1"/>
  <c r="AF74" i="1" s="1"/>
  <c r="DE73" i="1"/>
  <c r="AF73" i="1" s="1"/>
  <c r="DE75" i="1"/>
  <c r="AF75" i="1" s="1"/>
  <c r="DE72" i="1"/>
  <c r="AF72" i="1" s="1"/>
  <c r="DE69" i="1"/>
  <c r="AF69" i="1" s="1"/>
  <c r="DE65" i="1"/>
  <c r="AF65" i="1" s="1"/>
  <c r="DE64" i="1"/>
  <c r="AF64" i="1" s="1"/>
  <c r="DE63" i="1"/>
  <c r="AF63" i="1" s="1"/>
  <c r="DE62" i="1"/>
  <c r="AF62" i="1" s="1"/>
  <c r="DE61" i="1"/>
  <c r="AF61" i="1" s="1"/>
  <c r="DE60" i="1"/>
  <c r="AF60" i="1" s="1"/>
  <c r="DE59" i="1"/>
  <c r="AF59" i="1" s="1"/>
  <c r="DE58" i="1"/>
  <c r="AF58" i="1" s="1"/>
  <c r="DE57" i="1"/>
  <c r="AF57" i="1" s="1"/>
  <c r="DE56" i="1"/>
  <c r="AF56" i="1" s="1"/>
  <c r="DE55" i="1"/>
  <c r="AF55" i="1" s="1"/>
  <c r="DE54" i="1"/>
  <c r="AF54" i="1" s="1"/>
  <c r="DE53" i="1"/>
  <c r="AF53" i="1" s="1"/>
  <c r="DE52" i="1"/>
  <c r="AF52" i="1" s="1"/>
  <c r="DE51" i="1"/>
  <c r="AF51" i="1" s="1"/>
  <c r="DE50" i="1"/>
  <c r="AF50" i="1" s="1"/>
  <c r="DE49" i="1"/>
  <c r="AF49" i="1" s="1"/>
  <c r="DE48" i="1"/>
  <c r="AF48" i="1" s="1"/>
  <c r="DE47" i="1"/>
  <c r="AF47" i="1" s="1"/>
  <c r="DE46" i="1"/>
  <c r="AF46" i="1" s="1"/>
  <c r="DE45" i="1"/>
  <c r="AF45" i="1" s="1"/>
  <c r="DE44" i="1"/>
  <c r="AF44" i="1" s="1"/>
  <c r="DE43" i="1"/>
  <c r="AF43" i="1" s="1"/>
  <c r="DE42" i="1"/>
  <c r="AF42" i="1" s="1"/>
  <c r="DE41" i="1"/>
  <c r="AF41" i="1" s="1"/>
  <c r="DE40" i="1"/>
  <c r="AF40" i="1" s="1"/>
  <c r="DE39" i="1"/>
  <c r="AF39" i="1" s="1"/>
  <c r="DE38" i="1"/>
  <c r="AF38" i="1" s="1"/>
  <c r="DE37" i="1"/>
  <c r="AF37" i="1" s="1"/>
  <c r="DE36" i="1"/>
  <c r="AF36" i="1" s="1"/>
  <c r="DE35" i="1"/>
  <c r="AF35" i="1" s="1"/>
  <c r="DE34" i="1"/>
  <c r="AF34" i="1" s="1"/>
  <c r="DE33" i="1"/>
  <c r="AF33" i="1" s="1"/>
  <c r="DE32" i="1"/>
  <c r="AF32" i="1" s="1"/>
  <c r="DE31" i="1"/>
  <c r="AF31" i="1" s="1"/>
  <c r="DE30" i="1"/>
  <c r="AF30" i="1" s="1"/>
  <c r="DE29" i="1"/>
  <c r="AF29" i="1" s="1"/>
  <c r="DE28" i="1"/>
  <c r="AF28" i="1" s="1"/>
  <c r="DE27" i="1"/>
  <c r="AF27" i="1" s="1"/>
  <c r="DE26" i="1"/>
  <c r="AF26" i="1" s="1"/>
  <c r="DE25" i="1"/>
  <c r="AF25" i="1" s="1"/>
  <c r="DE24" i="1"/>
  <c r="AF24" i="1" s="1"/>
  <c r="DE23" i="1"/>
  <c r="AF23" i="1" s="1"/>
  <c r="DE22" i="1"/>
  <c r="AF22" i="1" s="1"/>
  <c r="DE21" i="1"/>
  <c r="AF21" i="1" s="1"/>
  <c r="DE20" i="1"/>
  <c r="AF20" i="1" s="1"/>
  <c r="DE19" i="1"/>
  <c r="AF19" i="1" s="1"/>
  <c r="DE14" i="1"/>
  <c r="AF14" i="1" s="1"/>
  <c r="DE15" i="1"/>
  <c r="AF15" i="1" s="1"/>
  <c r="DE13" i="1"/>
  <c r="AF13" i="1" s="1"/>
  <c r="DE11" i="1"/>
  <c r="AF11" i="1" s="1"/>
  <c r="DE9" i="1"/>
  <c r="AF9" i="1" s="1"/>
  <c r="DE8" i="1"/>
  <c r="AF8" i="1" s="1"/>
  <c r="DE7" i="1"/>
  <c r="AF7" i="1" s="1"/>
  <c r="DE263" i="1"/>
  <c r="AF263" i="1" s="1"/>
  <c r="CY268" i="1"/>
  <c r="CK268" i="1"/>
  <c r="CH268" i="1"/>
  <c r="R268" i="1" s="1"/>
  <c r="AS268" i="1"/>
  <c r="AP268" i="1"/>
  <c r="AM268" i="1"/>
  <c r="AA268" i="1"/>
  <c r="V268" i="1"/>
  <c r="W268" i="1" s="1"/>
  <c r="V264" i="1"/>
  <c r="W264" i="1" s="1"/>
  <c r="AM264" i="1"/>
  <c r="AP264" i="1"/>
  <c r="AS264" i="1"/>
  <c r="AV264" i="1"/>
  <c r="AY264" i="1"/>
  <c r="BB264" i="1"/>
  <c r="BE264" i="1"/>
  <c r="BH264" i="1"/>
  <c r="BK264" i="1"/>
  <c r="BN264" i="1"/>
  <c r="BQ264" i="1"/>
  <c r="BV264" i="1"/>
  <c r="BW264" i="1"/>
  <c r="BY264" i="1" s="1"/>
  <c r="CB264" i="1"/>
  <c r="CE264" i="1"/>
  <c r="CH264" i="1"/>
  <c r="CK264" i="1"/>
  <c r="CY264" i="1"/>
  <c r="V265" i="1"/>
  <c r="W265" i="1" s="1"/>
  <c r="AA265" i="1"/>
  <c r="AM265" i="1"/>
  <c r="AP265" i="1"/>
  <c r="AS265" i="1"/>
  <c r="AV265" i="1"/>
  <c r="AY265" i="1"/>
  <c r="BB265" i="1"/>
  <c r="BE265" i="1"/>
  <c r="BH265" i="1"/>
  <c r="BK265" i="1"/>
  <c r="BN265" i="1"/>
  <c r="BQ265" i="1"/>
  <c r="BV265" i="1"/>
  <c r="BW265" i="1"/>
  <c r="BY265" i="1" s="1"/>
  <c r="CB265" i="1"/>
  <c r="CE265" i="1"/>
  <c r="CH265" i="1"/>
  <c r="CK265" i="1"/>
  <c r="CY265" i="1"/>
  <c r="V261" i="1"/>
  <c r="W261" i="1" s="1"/>
  <c r="V260" i="1"/>
  <c r="W260" i="1" s="1"/>
  <c r="CY263" i="1"/>
  <c r="CK263" i="1"/>
  <c r="CH263" i="1"/>
  <c r="CI263" i="1" s="1"/>
  <c r="R263" i="1" s="1"/>
  <c r="BQ263" i="1"/>
  <c r="BN263" i="1"/>
  <c r="BK263" i="1"/>
  <c r="BH263" i="1"/>
  <c r="AS263" i="1"/>
  <c r="AP263" i="1"/>
  <c r="AM263" i="1"/>
  <c r="AA263" i="1"/>
  <c r="V263" i="1"/>
  <c r="W263" i="1" s="1"/>
  <c r="DR263" i="1"/>
  <c r="Y263" i="1" l="1"/>
  <c r="Z269" i="1"/>
  <c r="DR265" i="1"/>
  <c r="Y265" i="1" s="1"/>
  <c r="DR264" i="1"/>
  <c r="DR268" i="1"/>
  <c r="Y268" i="1" s="1"/>
  <c r="AG124" i="1"/>
  <c r="AG225" i="1"/>
  <c r="AG269" i="1"/>
  <c r="BS268" i="1"/>
  <c r="P268" i="1" s="1"/>
  <c r="X268" i="1" s="1"/>
  <c r="AD269" i="1"/>
  <c r="DN269" i="1" s="1"/>
  <c r="AE269" i="1"/>
  <c r="AB268" i="1"/>
  <c r="BS265" i="1"/>
  <c r="P265" i="1" s="1"/>
  <c r="BS264" i="1"/>
  <c r="P264" i="1" s="1"/>
  <c r="X264" i="1" s="1"/>
  <c r="CI264" i="1"/>
  <c r="R264" i="1" s="1"/>
  <c r="AA264" i="1" s="1"/>
  <c r="AB264" i="1" s="1"/>
  <c r="CI265" i="1"/>
  <c r="R265" i="1" s="1"/>
  <c r="BS263" i="1"/>
  <c r="P263" i="1" s="1"/>
  <c r="X263" i="1" s="1"/>
  <c r="AB263" i="1"/>
  <c r="CY72" i="1"/>
  <c r="CK72" i="1"/>
  <c r="CH72" i="1"/>
  <c r="CE72" i="1"/>
  <c r="CB72" i="1"/>
  <c r="BW72" i="1"/>
  <c r="BY72" i="1" s="1"/>
  <c r="BV72" i="1"/>
  <c r="BQ72" i="1"/>
  <c r="BN72" i="1"/>
  <c r="BK72" i="1"/>
  <c r="BH72" i="1"/>
  <c r="BE72" i="1"/>
  <c r="BB72" i="1"/>
  <c r="AY72" i="1"/>
  <c r="AV72" i="1"/>
  <c r="AS72" i="1"/>
  <c r="AP72" i="1"/>
  <c r="AM72" i="1"/>
  <c r="V72" i="1"/>
  <c r="W72" i="1" s="1"/>
  <c r="Q72" i="1"/>
  <c r="AG265" i="1" l="1"/>
  <c r="X265" i="1"/>
  <c r="Z265" i="1" s="1"/>
  <c r="DR72" i="1"/>
  <c r="Y264" i="1"/>
  <c r="AD263" i="1"/>
  <c r="DN263" i="1" s="1"/>
  <c r="AG263" i="1"/>
  <c r="AG264" i="1"/>
  <c r="AE268" i="1"/>
  <c r="AG268" i="1"/>
  <c r="Z268" i="1"/>
  <c r="AD268" i="1"/>
  <c r="AC269" i="1"/>
  <c r="AJ269" i="1" s="1"/>
  <c r="AI269" i="1"/>
  <c r="AE265" i="1"/>
  <c r="AD264" i="1"/>
  <c r="DN264" i="1" s="1"/>
  <c r="AD265" i="1"/>
  <c r="DN265" i="1" s="1"/>
  <c r="AB265" i="1"/>
  <c r="AE264" i="1"/>
  <c r="AE263" i="1"/>
  <c r="BS72" i="1"/>
  <c r="P72" i="1" s="1"/>
  <c r="Z263" i="1"/>
  <c r="CI72" i="1"/>
  <c r="R72" i="1" s="1"/>
  <c r="AA72" i="1" s="1"/>
  <c r="AB72" i="1" s="1"/>
  <c r="AG72" i="1" l="1"/>
  <c r="X72" i="1"/>
  <c r="Z264" i="1"/>
  <c r="AI264" i="1" s="1"/>
  <c r="Y72" i="1"/>
  <c r="DN268" i="1"/>
  <c r="AC268" i="1"/>
  <c r="AJ268" i="1" s="1"/>
  <c r="AI268" i="1"/>
  <c r="AC263" i="1"/>
  <c r="AJ263" i="1" s="1"/>
  <c r="AI265" i="1"/>
  <c r="AC265" i="1"/>
  <c r="AJ265" i="1" s="1"/>
  <c r="AI263" i="1"/>
  <c r="AD72" i="1"/>
  <c r="AE72" i="1"/>
  <c r="AC264" i="1" l="1"/>
  <c r="AJ264" i="1" s="1"/>
  <c r="DN72" i="1"/>
  <c r="Z72" i="1"/>
  <c r="AC72" i="1" s="1"/>
  <c r="AJ72" i="1" l="1"/>
  <c r="AI72" i="1"/>
  <c r="BW299" i="1"/>
  <c r="BW298" i="1"/>
  <c r="BW297" i="1"/>
  <c r="BW296" i="1"/>
  <c r="BW294" i="1"/>
  <c r="BW293" i="1"/>
  <c r="BW292" i="1"/>
  <c r="BW291" i="1"/>
  <c r="BW290" i="1"/>
  <c r="BW289" i="1"/>
  <c r="BW288" i="1"/>
  <c r="BW287" i="1"/>
  <c r="BW286" i="1"/>
  <c r="BW285" i="1"/>
  <c r="BW284" i="1"/>
  <c r="BW283" i="1"/>
  <c r="BW282" i="1"/>
  <c r="BW281" i="1"/>
  <c r="BW280" i="1"/>
  <c r="BW279" i="1"/>
  <c r="BW278" i="1"/>
  <c r="BW277" i="1"/>
  <c r="BW271" i="1"/>
  <c r="BW270" i="1"/>
  <c r="BW261" i="1"/>
  <c r="BW260" i="1"/>
  <c r="BW276" i="1"/>
  <c r="BW275" i="1"/>
  <c r="BY275" i="1" s="1"/>
  <c r="BW259" i="1"/>
  <c r="BY259" i="1" s="1"/>
  <c r="BW258" i="1"/>
  <c r="BW257" i="1"/>
  <c r="BW256" i="1"/>
  <c r="BW255" i="1"/>
  <c r="BW254" i="1"/>
  <c r="BW253" i="1"/>
  <c r="BW252" i="1"/>
  <c r="BW251" i="1"/>
  <c r="BW250" i="1"/>
  <c r="BW249" i="1"/>
  <c r="BW248" i="1"/>
  <c r="BW247" i="1"/>
  <c r="BW244" i="1"/>
  <c r="BW243" i="1"/>
  <c r="BW241" i="1"/>
  <c r="BW240" i="1"/>
  <c r="BW238" i="1"/>
  <c r="BW237" i="1"/>
  <c r="BW236" i="1"/>
  <c r="BW235" i="1"/>
  <c r="BW234" i="1"/>
  <c r="BW233" i="1"/>
  <c r="BW232" i="1"/>
  <c r="BW229" i="1"/>
  <c r="BW228" i="1"/>
  <c r="BW227" i="1"/>
  <c r="BW226" i="1"/>
  <c r="BW225" i="1"/>
  <c r="BW224" i="1"/>
  <c r="BW223" i="1"/>
  <c r="BW222" i="1"/>
  <c r="BW221" i="1"/>
  <c r="BW220" i="1"/>
  <c r="BW219" i="1"/>
  <c r="BW218" i="1"/>
  <c r="BW217" i="1"/>
  <c r="BW216" i="1"/>
  <c r="BW215" i="1"/>
  <c r="BW214" i="1"/>
  <c r="BW213" i="1"/>
  <c r="BW211" i="1"/>
  <c r="BW210" i="1"/>
  <c r="BW209" i="1"/>
  <c r="BW208" i="1"/>
  <c r="BW207" i="1"/>
  <c r="BW206" i="1"/>
  <c r="BW205" i="1"/>
  <c r="BW204" i="1"/>
  <c r="BW203" i="1"/>
  <c r="BW202" i="1"/>
  <c r="BW197" i="1"/>
  <c r="BW196" i="1"/>
  <c r="BW194" i="1"/>
  <c r="BW195" i="1"/>
  <c r="BW193" i="1"/>
  <c r="BW192" i="1"/>
  <c r="BW191" i="1"/>
  <c r="BW190" i="1"/>
  <c r="BW189" i="1"/>
  <c r="BW187" i="1"/>
  <c r="BW185" i="1"/>
  <c r="BW184" i="1"/>
  <c r="BW183" i="1"/>
  <c r="BW182" i="1"/>
  <c r="BW181" i="1"/>
  <c r="BW180" i="1"/>
  <c r="BW179" i="1"/>
  <c r="BW178" i="1"/>
  <c r="BW177" i="1"/>
  <c r="BW176" i="1"/>
  <c r="BW175" i="1"/>
  <c r="BW174" i="1"/>
  <c r="BW173" i="1"/>
  <c r="BW172" i="1"/>
  <c r="BW171" i="1"/>
  <c r="BW170" i="1"/>
  <c r="BW169" i="1"/>
  <c r="BW159" i="1"/>
  <c r="BW158" i="1"/>
  <c r="BW157" i="1"/>
  <c r="BW156" i="1"/>
  <c r="BW155" i="1"/>
  <c r="BW154" i="1"/>
  <c r="BW153" i="1"/>
  <c r="BW152" i="1"/>
  <c r="BW151" i="1"/>
  <c r="BW150" i="1"/>
  <c r="BW149" i="1"/>
  <c r="BW148" i="1"/>
  <c r="BW147" i="1"/>
  <c r="BW146" i="1"/>
  <c r="BW145" i="1"/>
  <c r="BW144" i="1"/>
  <c r="BW143" i="1"/>
  <c r="BW142" i="1"/>
  <c r="BW141" i="1"/>
  <c r="BW140" i="1"/>
  <c r="BW139" i="1"/>
  <c r="BW138" i="1"/>
  <c r="BW137" i="1"/>
  <c r="BW136" i="1"/>
  <c r="BW135" i="1"/>
  <c r="BW134" i="1"/>
  <c r="BW133" i="1"/>
  <c r="BW130" i="1"/>
  <c r="BW129" i="1"/>
  <c r="BW128" i="1"/>
  <c r="BW127" i="1"/>
  <c r="BW126" i="1"/>
  <c r="BW125" i="1"/>
  <c r="BW124" i="1"/>
  <c r="BW123" i="1"/>
  <c r="BW118" i="1"/>
  <c r="BW117" i="1"/>
  <c r="BW116" i="1"/>
  <c r="BW115" i="1"/>
  <c r="BW114" i="1"/>
  <c r="BW113" i="1"/>
  <c r="BW112" i="1"/>
  <c r="BW111" i="1"/>
  <c r="BW110" i="1"/>
  <c r="BW109" i="1"/>
  <c r="BW108" i="1"/>
  <c r="BW107" i="1"/>
  <c r="BW106" i="1"/>
  <c r="BW105" i="1"/>
  <c r="BW104" i="1"/>
  <c r="BW103" i="1"/>
  <c r="BW102" i="1"/>
  <c r="BW101" i="1"/>
  <c r="BW100" i="1"/>
  <c r="BW99" i="1"/>
  <c r="BW98" i="1"/>
  <c r="BW97" i="1"/>
  <c r="BW96" i="1"/>
  <c r="BW95" i="1"/>
  <c r="BW94" i="1"/>
  <c r="BW93" i="1"/>
  <c r="BW92" i="1"/>
  <c r="BW91" i="1"/>
  <c r="BW90" i="1"/>
  <c r="BW86" i="1"/>
  <c r="BW85" i="1"/>
  <c r="BW84" i="1"/>
  <c r="BW83" i="1"/>
  <c r="BW82" i="1"/>
  <c r="BW81" i="1"/>
  <c r="BW80" i="1"/>
  <c r="BW79" i="1"/>
  <c r="BW78" i="1"/>
  <c r="BW77" i="1"/>
  <c r="BW74" i="1"/>
  <c r="BW75" i="1"/>
  <c r="BW69" i="1"/>
  <c r="BW65" i="1"/>
  <c r="BW64" i="1"/>
  <c r="BW63" i="1"/>
  <c r="BW62" i="1"/>
  <c r="BW61" i="1"/>
  <c r="BW60" i="1"/>
  <c r="BW59" i="1"/>
  <c r="BW58" i="1"/>
  <c r="BW57" i="1"/>
  <c r="BW56" i="1"/>
  <c r="BW55" i="1"/>
  <c r="BW54" i="1"/>
  <c r="BW53" i="1"/>
  <c r="BW52" i="1"/>
  <c r="BW51" i="1"/>
  <c r="BW50" i="1"/>
  <c r="BW49" i="1"/>
  <c r="BW48" i="1"/>
  <c r="BW47" i="1"/>
  <c r="BW46" i="1"/>
  <c r="BW45" i="1"/>
  <c r="BW44" i="1"/>
  <c r="BW43" i="1"/>
  <c r="BW42" i="1"/>
  <c r="BW41" i="1"/>
  <c r="BW40" i="1"/>
  <c r="BW39" i="1"/>
  <c r="BW38" i="1"/>
  <c r="BW37" i="1"/>
  <c r="BW36" i="1"/>
  <c r="BW35" i="1"/>
  <c r="BW34" i="1"/>
  <c r="BW33" i="1"/>
  <c r="BW32" i="1"/>
  <c r="BW31" i="1"/>
  <c r="BW30" i="1"/>
  <c r="BW29" i="1"/>
  <c r="BW28" i="1"/>
  <c r="BW27" i="1"/>
  <c r="BW26" i="1"/>
  <c r="BW25" i="1"/>
  <c r="BW24" i="1"/>
  <c r="BW23" i="1"/>
  <c r="BW22" i="1"/>
  <c r="BW21" i="1"/>
  <c r="BW20" i="1"/>
  <c r="BW19" i="1"/>
  <c r="BW14" i="1"/>
  <c r="BW15" i="1"/>
  <c r="BW13" i="1"/>
  <c r="BW12" i="1"/>
  <c r="BW11" i="1"/>
  <c r="BW9" i="1"/>
  <c r="BW8" i="1"/>
  <c r="BW7" i="1"/>
  <c r="CY275" i="1"/>
  <c r="CK275" i="1"/>
  <c r="CH275" i="1"/>
  <c r="CE275" i="1"/>
  <c r="CB275" i="1"/>
  <c r="BV275" i="1"/>
  <c r="BQ275" i="1"/>
  <c r="BN275" i="1"/>
  <c r="BK275" i="1"/>
  <c r="BH275" i="1"/>
  <c r="BE275" i="1"/>
  <c r="BB275" i="1"/>
  <c r="AY275" i="1"/>
  <c r="AV275" i="1"/>
  <c r="AS275" i="1"/>
  <c r="AP275" i="1"/>
  <c r="AM275" i="1"/>
  <c r="AA275" i="1"/>
  <c r="CY259" i="1"/>
  <c r="CK259" i="1"/>
  <c r="CH259" i="1"/>
  <c r="CE259" i="1"/>
  <c r="CB259" i="1"/>
  <c r="BV259" i="1"/>
  <c r="BQ259" i="1"/>
  <c r="BN259" i="1"/>
  <c r="BK259" i="1"/>
  <c r="BH259" i="1"/>
  <c r="BE259" i="1"/>
  <c r="BB259" i="1"/>
  <c r="AY259" i="1"/>
  <c r="AV259" i="1"/>
  <c r="AS259" i="1"/>
  <c r="AP259" i="1"/>
  <c r="AM259" i="1"/>
  <c r="AA259" i="1"/>
  <c r="V275" i="1" l="1"/>
  <c r="W275" i="1" s="1"/>
  <c r="DR275" i="1"/>
  <c r="Y275" i="1" s="1"/>
  <c r="V259" i="1"/>
  <c r="W259" i="1" s="1"/>
  <c r="DR259" i="1"/>
  <c r="BS259" i="1"/>
  <c r="P259" i="1" s="1"/>
  <c r="BS275" i="1"/>
  <c r="P275" i="1" s="1"/>
  <c r="CI275" i="1"/>
  <c r="R275" i="1" s="1"/>
  <c r="AB275" i="1" s="1"/>
  <c r="CI259" i="1"/>
  <c r="R259" i="1" s="1"/>
  <c r="AB259" i="1" s="1"/>
  <c r="CY276" i="1"/>
  <c r="CK276" i="1"/>
  <c r="CH276" i="1"/>
  <c r="CE276" i="1"/>
  <c r="CB276" i="1"/>
  <c r="BY276" i="1"/>
  <c r="BV276" i="1"/>
  <c r="BQ276" i="1"/>
  <c r="BN276" i="1"/>
  <c r="BK276" i="1"/>
  <c r="BH276" i="1"/>
  <c r="BE276" i="1"/>
  <c r="BB276" i="1"/>
  <c r="AY276" i="1"/>
  <c r="AV276" i="1"/>
  <c r="AS276" i="1"/>
  <c r="AP276" i="1"/>
  <c r="AM276" i="1"/>
  <c r="AA276" i="1"/>
  <c r="AG275" i="1" l="1"/>
  <c r="X275" i="1"/>
  <c r="Z275" i="1" s="1"/>
  <c r="AG259" i="1"/>
  <c r="X259" i="1"/>
  <c r="DR276" i="1"/>
  <c r="Y276" i="1" s="1"/>
  <c r="Y259" i="1"/>
  <c r="V276" i="1"/>
  <c r="W276" i="1" s="1"/>
  <c r="AE275" i="1"/>
  <c r="AD275" i="1"/>
  <c r="DN275" i="1" s="1"/>
  <c r="AD259" i="1"/>
  <c r="DN259" i="1" s="1"/>
  <c r="AE259" i="1"/>
  <c r="BS276" i="1"/>
  <c r="P276" i="1" s="1"/>
  <c r="CI276" i="1"/>
  <c r="R276" i="1" s="1"/>
  <c r="CY74" i="1"/>
  <c r="CK74" i="1"/>
  <c r="CH74" i="1"/>
  <c r="CE74" i="1"/>
  <c r="CB74" i="1"/>
  <c r="BY74" i="1"/>
  <c r="BV74" i="1"/>
  <c r="V74" i="1"/>
  <c r="W74" i="1" s="1"/>
  <c r="Q74" i="1"/>
  <c r="DR74" i="1" s="1"/>
  <c r="AG276" i="1" l="1"/>
  <c r="X276" i="1"/>
  <c r="Z259" i="1"/>
  <c r="AC259" i="1" s="1"/>
  <c r="AJ259" i="1" s="1"/>
  <c r="Y74" i="1"/>
  <c r="AC275" i="1"/>
  <c r="AJ275" i="1" s="1"/>
  <c r="Z276" i="1"/>
  <c r="P74" i="1"/>
  <c r="AI275" i="1"/>
  <c r="CI74" i="1"/>
  <c r="R74" i="1" s="1"/>
  <c r="AE276" i="1"/>
  <c r="AD276" i="1"/>
  <c r="DN276" i="1" s="1"/>
  <c r="AB276" i="1"/>
  <c r="BW73" i="1"/>
  <c r="BY73" i="1" s="1"/>
  <c r="CH73" i="1"/>
  <c r="CE73" i="1"/>
  <c r="CB73" i="1"/>
  <c r="BV73" i="1"/>
  <c r="Q73" i="1"/>
  <c r="CH299" i="1"/>
  <c r="CH298" i="1"/>
  <c r="CH297" i="1"/>
  <c r="CH296" i="1"/>
  <c r="CH294" i="1"/>
  <c r="CH293" i="1"/>
  <c r="CI293" i="1" s="1"/>
  <c r="R293" i="1" s="1"/>
  <c r="CH292" i="1"/>
  <c r="CH291" i="1"/>
  <c r="CH290" i="1"/>
  <c r="CH289" i="1"/>
  <c r="CH288" i="1"/>
  <c r="CH287" i="1"/>
  <c r="CH286" i="1"/>
  <c r="CH285" i="1"/>
  <c r="CH284" i="1"/>
  <c r="CH283" i="1"/>
  <c r="CH282" i="1"/>
  <c r="CH281" i="1"/>
  <c r="CH280" i="1"/>
  <c r="CH279" i="1"/>
  <c r="CH278" i="1"/>
  <c r="CH277" i="1"/>
  <c r="CH271" i="1"/>
  <c r="CH270" i="1"/>
  <c r="CH274" i="1"/>
  <c r="CH266" i="1"/>
  <c r="CH262" i="1"/>
  <c r="CH261" i="1"/>
  <c r="CH260" i="1"/>
  <c r="CH258" i="1"/>
  <c r="CH257" i="1"/>
  <c r="CH256" i="1"/>
  <c r="CH255" i="1"/>
  <c r="CH254" i="1"/>
  <c r="CH253" i="1"/>
  <c r="CH252" i="1"/>
  <c r="CH251" i="1"/>
  <c r="CH250" i="1"/>
  <c r="CH249" i="1"/>
  <c r="CH248" i="1"/>
  <c r="CH247" i="1"/>
  <c r="CH244" i="1"/>
  <c r="CH243" i="1"/>
  <c r="CH241" i="1"/>
  <c r="CH240" i="1"/>
  <c r="CH238" i="1"/>
  <c r="CI238" i="1" s="1"/>
  <c r="CH237" i="1"/>
  <c r="CH236" i="1"/>
  <c r="CH235" i="1"/>
  <c r="CH234" i="1"/>
  <c r="CH233" i="1"/>
  <c r="CH232" i="1"/>
  <c r="CH229" i="1"/>
  <c r="CH228" i="1"/>
  <c r="CH227" i="1"/>
  <c r="CH226" i="1"/>
  <c r="CH225" i="1"/>
  <c r="CH224" i="1"/>
  <c r="CH223" i="1"/>
  <c r="CH222" i="1"/>
  <c r="CH221" i="1"/>
  <c r="CH220" i="1"/>
  <c r="CH219" i="1"/>
  <c r="CH218" i="1"/>
  <c r="CH217" i="1"/>
  <c r="CH216" i="1"/>
  <c r="CH215" i="1"/>
  <c r="CH214" i="1"/>
  <c r="CH213" i="1"/>
  <c r="CH211" i="1"/>
  <c r="CH210" i="1"/>
  <c r="CH209" i="1"/>
  <c r="CH208" i="1"/>
  <c r="CH207" i="1"/>
  <c r="CH206" i="1"/>
  <c r="CH205" i="1"/>
  <c r="CH204" i="1"/>
  <c r="CH203" i="1"/>
  <c r="CH202" i="1"/>
  <c r="CH197" i="1"/>
  <c r="CH196" i="1"/>
  <c r="CH194" i="1"/>
  <c r="CI194" i="1" s="1"/>
  <c r="CH195" i="1"/>
  <c r="CH193" i="1"/>
  <c r="CH192" i="1"/>
  <c r="CH191" i="1"/>
  <c r="CH190" i="1"/>
  <c r="CH189" i="1"/>
  <c r="CH187" i="1"/>
  <c r="CI187" i="1" s="1"/>
  <c r="CH185" i="1"/>
  <c r="CH184" i="1"/>
  <c r="CH183" i="1"/>
  <c r="CH182" i="1"/>
  <c r="CH181" i="1"/>
  <c r="CH180" i="1"/>
  <c r="CH179" i="1"/>
  <c r="CH178" i="1"/>
  <c r="CI178" i="1" s="1"/>
  <c r="CH177" i="1"/>
  <c r="CH176" i="1"/>
  <c r="CH175" i="1"/>
  <c r="CH174" i="1"/>
  <c r="CH173" i="1"/>
  <c r="CH172" i="1"/>
  <c r="CH171" i="1"/>
  <c r="CH170" i="1"/>
  <c r="CH169" i="1"/>
  <c r="CH159" i="1"/>
  <c r="CH158" i="1"/>
  <c r="CH157" i="1"/>
  <c r="CH156" i="1"/>
  <c r="CH155" i="1"/>
  <c r="CH154" i="1"/>
  <c r="CH153" i="1"/>
  <c r="CH152" i="1"/>
  <c r="CH151" i="1"/>
  <c r="CH150" i="1"/>
  <c r="CH149" i="1"/>
  <c r="CH148" i="1"/>
  <c r="CH147" i="1"/>
  <c r="CH146" i="1"/>
  <c r="CH144" i="1"/>
  <c r="CH143" i="1"/>
  <c r="CH142" i="1"/>
  <c r="CH141" i="1"/>
  <c r="CH140" i="1"/>
  <c r="CH139" i="1"/>
  <c r="CH138" i="1"/>
  <c r="CH137" i="1"/>
  <c r="CH136" i="1"/>
  <c r="CH135" i="1"/>
  <c r="CH134" i="1"/>
  <c r="CH133" i="1"/>
  <c r="CH130" i="1"/>
  <c r="CH129" i="1"/>
  <c r="CH128" i="1"/>
  <c r="CH127" i="1"/>
  <c r="CH126" i="1"/>
  <c r="CH125" i="1"/>
  <c r="CH124" i="1"/>
  <c r="CI124" i="1" s="1"/>
  <c r="CH123" i="1"/>
  <c r="CH118" i="1"/>
  <c r="CH117" i="1"/>
  <c r="CH116" i="1"/>
  <c r="CH115" i="1"/>
  <c r="CH114" i="1"/>
  <c r="CH113" i="1"/>
  <c r="CH112" i="1"/>
  <c r="CH111" i="1"/>
  <c r="CH110" i="1"/>
  <c r="CH109" i="1"/>
  <c r="CH108" i="1"/>
  <c r="CH107" i="1"/>
  <c r="CH106" i="1"/>
  <c r="CH105" i="1"/>
  <c r="CH104" i="1"/>
  <c r="CH103" i="1"/>
  <c r="CH102" i="1"/>
  <c r="CH101" i="1"/>
  <c r="CH100" i="1"/>
  <c r="CI100" i="1" s="1"/>
  <c r="CH99" i="1"/>
  <c r="CI99" i="1" s="1"/>
  <c r="CH98" i="1"/>
  <c r="CH97" i="1"/>
  <c r="CH96" i="1"/>
  <c r="CH95" i="1"/>
  <c r="CH94" i="1"/>
  <c r="CH93" i="1"/>
  <c r="CH92" i="1"/>
  <c r="CH91" i="1"/>
  <c r="CH90" i="1"/>
  <c r="CH86" i="1"/>
  <c r="CH85" i="1"/>
  <c r="CH84" i="1"/>
  <c r="CH83" i="1"/>
  <c r="CH82" i="1"/>
  <c r="CH81" i="1"/>
  <c r="CH80" i="1"/>
  <c r="CH79" i="1"/>
  <c r="CH78" i="1"/>
  <c r="CH77" i="1"/>
  <c r="CH75" i="1"/>
  <c r="CH69" i="1"/>
  <c r="CH65" i="1"/>
  <c r="CH64" i="1"/>
  <c r="CH63" i="1"/>
  <c r="CH62" i="1"/>
  <c r="CH61" i="1"/>
  <c r="CH60" i="1"/>
  <c r="CH59" i="1"/>
  <c r="CH58" i="1"/>
  <c r="CH57" i="1"/>
  <c r="CH56" i="1"/>
  <c r="CH55" i="1"/>
  <c r="CH54" i="1"/>
  <c r="CH53" i="1"/>
  <c r="CH52" i="1"/>
  <c r="CH51" i="1"/>
  <c r="CH50" i="1"/>
  <c r="CH49" i="1"/>
  <c r="CH48" i="1"/>
  <c r="CI48" i="1" s="1"/>
  <c r="CH47" i="1"/>
  <c r="CH46" i="1"/>
  <c r="CH45" i="1"/>
  <c r="CH44" i="1"/>
  <c r="CH43" i="1"/>
  <c r="CH42" i="1"/>
  <c r="CH41" i="1"/>
  <c r="CH40" i="1"/>
  <c r="CH39" i="1"/>
  <c r="CH38" i="1"/>
  <c r="CH37" i="1"/>
  <c r="CH36" i="1"/>
  <c r="CH35" i="1"/>
  <c r="CH34" i="1"/>
  <c r="CH33" i="1"/>
  <c r="CH32" i="1"/>
  <c r="CH31" i="1"/>
  <c r="CH30" i="1"/>
  <c r="CH29" i="1"/>
  <c r="CH28" i="1"/>
  <c r="CH27" i="1"/>
  <c r="CH26" i="1"/>
  <c r="CH25" i="1"/>
  <c r="CH24" i="1"/>
  <c r="CH23" i="1"/>
  <c r="CH22" i="1"/>
  <c r="CH21" i="1"/>
  <c r="CH20" i="1"/>
  <c r="CH19" i="1"/>
  <c r="CH14" i="1"/>
  <c r="CH15" i="1"/>
  <c r="CH13" i="1"/>
  <c r="CH12" i="1"/>
  <c r="CH11" i="1"/>
  <c r="CH9" i="1"/>
  <c r="CH8" i="1"/>
  <c r="CH7" i="1"/>
  <c r="CH145" i="1"/>
  <c r="CY73" i="1"/>
  <c r="CK73" i="1"/>
  <c r="V73" i="1"/>
  <c r="W73" i="1" s="1"/>
  <c r="AG74" i="1" l="1"/>
  <c r="X74" i="1"/>
  <c r="Z74" i="1" s="1"/>
  <c r="AI259" i="1"/>
  <c r="DR73" i="1"/>
  <c r="Y73" i="1" s="1"/>
  <c r="AC276" i="1"/>
  <c r="AJ276" i="1" s="1"/>
  <c r="AA74" i="1"/>
  <c r="AB74" i="1" s="1"/>
  <c r="AE74" i="1"/>
  <c r="AD74" i="1"/>
  <c r="CI73" i="1"/>
  <c r="R73" i="1" s="1"/>
  <c r="AA73" i="1" s="1"/>
  <c r="AB73" i="1" s="1"/>
  <c r="AI276" i="1"/>
  <c r="P73" i="1"/>
  <c r="AG73" i="1" l="1"/>
  <c r="X73" i="1"/>
  <c r="Z73" i="1" s="1"/>
  <c r="DN74" i="1"/>
  <c r="AI74" i="1"/>
  <c r="AC74" i="1"/>
  <c r="AD73" i="1"/>
  <c r="AE73" i="1"/>
  <c r="AC73" i="1" l="1"/>
  <c r="AJ74" i="1"/>
  <c r="DN73" i="1"/>
  <c r="AJ73" i="1" l="1"/>
  <c r="AI73" i="1"/>
  <c r="CY91" i="1"/>
  <c r="AM190" i="1" l="1"/>
  <c r="CY179" i="1"/>
  <c r="CK179" i="1"/>
  <c r="CE179" i="1"/>
  <c r="CB179" i="1"/>
  <c r="BY179" i="1"/>
  <c r="BV179" i="1"/>
  <c r="BQ179" i="1"/>
  <c r="BN179" i="1"/>
  <c r="BK179" i="1"/>
  <c r="BH179" i="1"/>
  <c r="BE179" i="1"/>
  <c r="BB179" i="1"/>
  <c r="AY179" i="1"/>
  <c r="AV179" i="1"/>
  <c r="AS179" i="1"/>
  <c r="AP179" i="1"/>
  <c r="AM179" i="1"/>
  <c r="CI179" i="1" l="1"/>
  <c r="BS179" i="1"/>
  <c r="AP191" i="1"/>
  <c r="AS191" i="1"/>
  <c r="AV191" i="1"/>
  <c r="AY191" i="1"/>
  <c r="BB191" i="1"/>
  <c r="BE191" i="1"/>
  <c r="BH191" i="1"/>
  <c r="AP192" i="1"/>
  <c r="AS192" i="1"/>
  <c r="AV192" i="1"/>
  <c r="AY192" i="1"/>
  <c r="BB192" i="1"/>
  <c r="BE192" i="1"/>
  <c r="BH192" i="1"/>
  <c r="AM191" i="1"/>
  <c r="AM192" i="1"/>
  <c r="AV196" i="1"/>
  <c r="AY196" i="1"/>
  <c r="BB196" i="1"/>
  <c r="BE196" i="1"/>
  <c r="BH196" i="1"/>
  <c r="BK196" i="1"/>
  <c r="BN196" i="1"/>
  <c r="BQ196" i="1"/>
  <c r="DR236" i="1" l="1"/>
  <c r="Y236" i="1" s="1"/>
  <c r="DR172" i="1"/>
  <c r="CK299" i="1"/>
  <c r="CK298" i="1"/>
  <c r="CK297" i="1"/>
  <c r="CK296" i="1"/>
  <c r="CK294" i="1"/>
  <c r="CK293" i="1"/>
  <c r="CK292" i="1"/>
  <c r="CK291" i="1"/>
  <c r="CK290" i="1"/>
  <c r="CK289" i="1"/>
  <c r="CK288" i="1"/>
  <c r="CK287" i="1"/>
  <c r="CK286" i="1"/>
  <c r="CK285" i="1"/>
  <c r="CK284" i="1"/>
  <c r="CK283" i="1"/>
  <c r="CK282" i="1"/>
  <c r="CK281" i="1"/>
  <c r="CK280" i="1"/>
  <c r="CK279" i="1"/>
  <c r="CK278" i="1"/>
  <c r="CK277" i="1"/>
  <c r="CK271" i="1"/>
  <c r="CK270" i="1"/>
  <c r="CK274" i="1"/>
  <c r="CK266" i="1"/>
  <c r="CK262" i="1"/>
  <c r="CK261" i="1"/>
  <c r="CK260" i="1"/>
  <c r="CK258" i="1"/>
  <c r="CK257" i="1"/>
  <c r="CK256" i="1"/>
  <c r="CK255" i="1"/>
  <c r="CK254" i="1"/>
  <c r="CK253" i="1"/>
  <c r="CK252" i="1"/>
  <c r="CK251" i="1"/>
  <c r="CK250" i="1"/>
  <c r="CK249" i="1"/>
  <c r="CK248" i="1"/>
  <c r="CK247" i="1"/>
  <c r="CK244" i="1"/>
  <c r="CK243" i="1"/>
  <c r="CK241" i="1"/>
  <c r="CK240" i="1"/>
  <c r="CK238" i="1"/>
  <c r="CK237" i="1"/>
  <c r="CK236" i="1"/>
  <c r="CK235" i="1"/>
  <c r="CK234" i="1"/>
  <c r="CK233" i="1"/>
  <c r="CK232" i="1"/>
  <c r="CK229" i="1"/>
  <c r="CK228" i="1"/>
  <c r="CK227" i="1"/>
  <c r="CK226" i="1"/>
  <c r="CK225" i="1"/>
  <c r="CK224" i="1"/>
  <c r="CK223" i="1"/>
  <c r="CK222" i="1"/>
  <c r="CK221" i="1"/>
  <c r="CK220" i="1"/>
  <c r="CK219" i="1"/>
  <c r="CK218" i="1"/>
  <c r="CK217" i="1"/>
  <c r="CK216" i="1"/>
  <c r="CK215" i="1"/>
  <c r="CK214" i="1"/>
  <c r="CK213" i="1"/>
  <c r="CK211" i="1"/>
  <c r="CK210" i="1"/>
  <c r="CK209" i="1"/>
  <c r="CK208" i="1"/>
  <c r="CK207" i="1"/>
  <c r="CK206" i="1"/>
  <c r="CK205" i="1"/>
  <c r="CK204" i="1"/>
  <c r="CK203" i="1"/>
  <c r="CK202" i="1"/>
  <c r="CK197" i="1"/>
  <c r="CK196" i="1"/>
  <c r="CK195" i="1"/>
  <c r="CK193" i="1"/>
  <c r="CK192" i="1"/>
  <c r="CK191" i="1"/>
  <c r="CK190" i="1"/>
  <c r="CK189" i="1"/>
  <c r="CK187" i="1"/>
  <c r="CK185" i="1"/>
  <c r="CK184" i="1"/>
  <c r="CK183" i="1"/>
  <c r="CK182" i="1"/>
  <c r="CK181" i="1"/>
  <c r="CK180" i="1"/>
  <c r="CK178" i="1"/>
  <c r="CK177" i="1"/>
  <c r="CK176" i="1"/>
  <c r="CK175" i="1"/>
  <c r="CK174" i="1"/>
  <c r="CK173" i="1"/>
  <c r="CK172" i="1"/>
  <c r="CK171" i="1"/>
  <c r="CK170" i="1"/>
  <c r="CK169" i="1"/>
  <c r="CK159" i="1"/>
  <c r="CK158" i="1"/>
  <c r="CK157" i="1"/>
  <c r="CK156" i="1"/>
  <c r="CK155" i="1"/>
  <c r="CK154" i="1"/>
  <c r="CK153" i="1"/>
  <c r="CK152" i="1"/>
  <c r="CK151" i="1"/>
  <c r="CK150" i="1"/>
  <c r="CK149" i="1"/>
  <c r="CK148" i="1"/>
  <c r="CK147" i="1"/>
  <c r="CK146" i="1"/>
  <c r="CK145" i="1"/>
  <c r="CK144" i="1"/>
  <c r="CK143" i="1"/>
  <c r="CK142" i="1"/>
  <c r="CK141" i="1"/>
  <c r="CK140" i="1"/>
  <c r="CK139" i="1"/>
  <c r="CK138" i="1"/>
  <c r="CK137" i="1"/>
  <c r="CK136" i="1"/>
  <c r="CK135" i="1"/>
  <c r="CK134" i="1"/>
  <c r="CK133" i="1"/>
  <c r="CK130" i="1"/>
  <c r="CK129" i="1"/>
  <c r="CK128" i="1"/>
  <c r="CK127" i="1"/>
  <c r="CK126" i="1"/>
  <c r="CK125" i="1"/>
  <c r="CK124" i="1"/>
  <c r="CK123" i="1"/>
  <c r="CK118" i="1"/>
  <c r="CK117" i="1"/>
  <c r="CK116" i="1"/>
  <c r="CK115" i="1"/>
  <c r="CK114" i="1"/>
  <c r="CK113" i="1"/>
  <c r="CK112" i="1"/>
  <c r="CK111" i="1"/>
  <c r="CK110" i="1"/>
  <c r="CK109" i="1"/>
  <c r="CK108" i="1"/>
  <c r="CK107" i="1"/>
  <c r="CK106" i="1"/>
  <c r="CK105" i="1"/>
  <c r="CK104" i="1"/>
  <c r="CK103" i="1"/>
  <c r="CK102" i="1"/>
  <c r="CK101" i="1"/>
  <c r="CK100" i="1"/>
  <c r="CK99" i="1"/>
  <c r="CK98" i="1"/>
  <c r="CK97" i="1"/>
  <c r="CK96" i="1"/>
  <c r="CK95" i="1"/>
  <c r="CK94" i="1"/>
  <c r="CK93" i="1"/>
  <c r="CK92" i="1"/>
  <c r="CK91" i="1"/>
  <c r="CK90" i="1"/>
  <c r="CK86" i="1"/>
  <c r="CK85" i="1"/>
  <c r="CK84" i="1"/>
  <c r="CK83" i="1"/>
  <c r="CK82" i="1"/>
  <c r="CK81" i="1"/>
  <c r="CK80" i="1"/>
  <c r="CK79" i="1"/>
  <c r="CK78" i="1"/>
  <c r="CK77" i="1"/>
  <c r="CK75" i="1"/>
  <c r="CK69" i="1"/>
  <c r="CK65" i="1"/>
  <c r="CK64" i="1"/>
  <c r="CK63" i="1"/>
  <c r="CK62" i="1"/>
  <c r="CK61" i="1"/>
  <c r="CK60" i="1"/>
  <c r="CK59" i="1"/>
  <c r="CK58" i="1"/>
  <c r="CK57" i="1"/>
  <c r="CK56" i="1"/>
  <c r="CK55" i="1"/>
  <c r="CK54" i="1"/>
  <c r="CK53" i="1"/>
  <c r="CK52" i="1"/>
  <c r="CK51" i="1"/>
  <c r="CK50" i="1"/>
  <c r="CK49" i="1"/>
  <c r="CK48" i="1"/>
  <c r="CK47" i="1"/>
  <c r="CK46" i="1"/>
  <c r="CK45" i="1"/>
  <c r="CK44" i="1"/>
  <c r="CK43" i="1"/>
  <c r="CK42" i="1"/>
  <c r="CK41" i="1"/>
  <c r="CK40" i="1"/>
  <c r="CK39" i="1"/>
  <c r="CK38" i="1"/>
  <c r="CK37" i="1"/>
  <c r="CK36" i="1"/>
  <c r="CK35" i="1"/>
  <c r="CK34" i="1"/>
  <c r="CK33" i="1"/>
  <c r="CK32" i="1"/>
  <c r="CK31" i="1"/>
  <c r="CK30" i="1"/>
  <c r="CK29" i="1"/>
  <c r="CK28" i="1"/>
  <c r="CK27" i="1"/>
  <c r="CK26" i="1"/>
  <c r="CK25" i="1"/>
  <c r="CK24" i="1"/>
  <c r="CK23" i="1"/>
  <c r="CK22" i="1"/>
  <c r="CK21" i="1"/>
  <c r="CK20" i="1"/>
  <c r="CK19" i="1"/>
  <c r="CK14" i="1"/>
  <c r="CK15" i="1"/>
  <c r="CK13" i="1"/>
  <c r="CK12" i="1"/>
  <c r="CK9" i="1"/>
  <c r="CK8" i="1"/>
  <c r="CK7" i="1"/>
  <c r="CK11" i="1"/>
  <c r="Q7" i="1"/>
  <c r="V7" i="1"/>
  <c r="W7" i="1" s="1"/>
  <c r="AA7" i="1"/>
  <c r="AM7" i="1"/>
  <c r="AP7" i="1"/>
  <c r="AS7" i="1"/>
  <c r="AV7" i="1"/>
  <c r="AY7" i="1"/>
  <c r="BB7" i="1"/>
  <c r="BE7" i="1"/>
  <c r="BH7" i="1"/>
  <c r="BK7" i="1"/>
  <c r="BN7" i="1"/>
  <c r="BQ7" i="1"/>
  <c r="BV7" i="1"/>
  <c r="BY7" i="1"/>
  <c r="CB7" i="1"/>
  <c r="CE7" i="1"/>
  <c r="CY7" i="1"/>
  <c r="Q8" i="1"/>
  <c r="V8" i="1"/>
  <c r="W8" i="1" s="1"/>
  <c r="AA8" i="1"/>
  <c r="AM8" i="1"/>
  <c r="AP8" i="1"/>
  <c r="AS8" i="1"/>
  <c r="AV8" i="1"/>
  <c r="AY8" i="1"/>
  <c r="BB8" i="1"/>
  <c r="BE8" i="1"/>
  <c r="BH8" i="1"/>
  <c r="BK8" i="1"/>
  <c r="BN8" i="1"/>
  <c r="BQ8" i="1"/>
  <c r="BV8" i="1"/>
  <c r="BY8" i="1"/>
  <c r="CB8" i="1"/>
  <c r="CE8" i="1"/>
  <c r="CY8" i="1"/>
  <c r="DR7" i="1" l="1"/>
  <c r="Y7" i="1" s="1"/>
  <c r="Y172" i="1"/>
  <c r="DR8" i="1"/>
  <c r="Y8" i="1" s="1"/>
  <c r="CI8" i="1"/>
  <c r="R8" i="1" s="1"/>
  <c r="AB8" i="1" s="1"/>
  <c r="CI7" i="1"/>
  <c r="R7" i="1" s="1"/>
  <c r="AB7" i="1" s="1"/>
  <c r="BS7" i="1"/>
  <c r="P7" i="1" s="1"/>
  <c r="BS8" i="1"/>
  <c r="P8" i="1" s="1"/>
  <c r="CE171" i="1"/>
  <c r="CB171" i="1"/>
  <c r="BY171" i="1"/>
  <c r="BV171" i="1"/>
  <c r="BQ171" i="1"/>
  <c r="BN171" i="1"/>
  <c r="BK171" i="1"/>
  <c r="BH171" i="1"/>
  <c r="BE171" i="1"/>
  <c r="BB171" i="1"/>
  <c r="AY171" i="1"/>
  <c r="AV171" i="1"/>
  <c r="AS171" i="1"/>
  <c r="AN171" i="1"/>
  <c r="AM171" i="1"/>
  <c r="V171" i="1"/>
  <c r="W171" i="1" s="1"/>
  <c r="AP171" i="1" l="1"/>
  <c r="Q171" i="1"/>
  <c r="DR171" i="1" s="1"/>
  <c r="Y171" i="1" s="1"/>
  <c r="AG7" i="1"/>
  <c r="X7" i="1"/>
  <c r="Z7" i="1" s="1"/>
  <c r="AG8" i="1"/>
  <c r="X8" i="1"/>
  <c r="Z8" i="1" s="1"/>
  <c r="CI171" i="1"/>
  <c r="R171" i="1" s="1"/>
  <c r="AA171" i="1" s="1"/>
  <c r="AB171" i="1" s="1"/>
  <c r="AD8" i="1"/>
  <c r="DN8" i="1" s="1"/>
  <c r="AE8" i="1"/>
  <c r="AE7" i="1"/>
  <c r="AD7" i="1"/>
  <c r="BS171" i="1"/>
  <c r="CY171" i="1"/>
  <c r="AC7" i="1" l="1"/>
  <c r="AJ7" i="1" s="1"/>
  <c r="AC8" i="1"/>
  <c r="AJ8" i="1" s="1"/>
  <c r="DN7" i="1"/>
  <c r="AI7" i="1"/>
  <c r="AI8" i="1"/>
  <c r="P171" i="1"/>
  <c r="X171" i="1" s="1"/>
  <c r="AG171" i="1" l="1"/>
  <c r="AE171" i="1"/>
  <c r="AD171" i="1"/>
  <c r="Z171" i="1"/>
  <c r="CB75" i="1"/>
  <c r="BQ75" i="1"/>
  <c r="BN75" i="1"/>
  <c r="BE75" i="1"/>
  <c r="CY75" i="1"/>
  <c r="V75" i="1"/>
  <c r="W75" i="1" s="1"/>
  <c r="DN171" i="1" l="1"/>
  <c r="AI171" i="1"/>
  <c r="AC171" i="1"/>
  <c r="BB75" i="1"/>
  <c r="BH75" i="1"/>
  <c r="BY75" i="1"/>
  <c r="AY75" i="1"/>
  <c r="CE75" i="1"/>
  <c r="Q75" i="1"/>
  <c r="AV75" i="1"/>
  <c r="BK75" i="1"/>
  <c r="AP75" i="1"/>
  <c r="AS75" i="1"/>
  <c r="AM75" i="1"/>
  <c r="BV75" i="1"/>
  <c r="AJ171" i="1" l="1"/>
  <c r="DR75" i="1"/>
  <c r="Y75" i="1" s="1"/>
  <c r="CI75" i="1"/>
  <c r="R75" i="1" s="1"/>
  <c r="BS75" i="1"/>
  <c r="P75" i="1" s="1"/>
  <c r="AG75" i="1" l="1"/>
  <c r="X75" i="1"/>
  <c r="Z75" i="1" s="1"/>
  <c r="AE75" i="1"/>
  <c r="AD75" i="1"/>
  <c r="AA75" i="1"/>
  <c r="AB75" i="1" s="1"/>
  <c r="DN75" i="1" l="1"/>
  <c r="AI75" i="1"/>
  <c r="AC75" i="1"/>
  <c r="AJ75" i="1" s="1"/>
  <c r="CY299" i="1" l="1"/>
  <c r="CE299" i="1"/>
  <c r="CB299" i="1"/>
  <c r="BY299" i="1"/>
  <c r="BV299" i="1"/>
  <c r="BQ299" i="1"/>
  <c r="BN299" i="1"/>
  <c r="BK299" i="1"/>
  <c r="BH299" i="1"/>
  <c r="BE299" i="1"/>
  <c r="BB299" i="1"/>
  <c r="AY299" i="1"/>
  <c r="AV299" i="1"/>
  <c r="AS299" i="1"/>
  <c r="AP299" i="1"/>
  <c r="AM299" i="1"/>
  <c r="AA299" i="1"/>
  <c r="CY298" i="1"/>
  <c r="CE298" i="1"/>
  <c r="CB298" i="1"/>
  <c r="BY298" i="1"/>
  <c r="BV298" i="1"/>
  <c r="BQ298" i="1"/>
  <c r="BN298" i="1"/>
  <c r="BK298" i="1"/>
  <c r="BH298" i="1"/>
  <c r="BE298" i="1"/>
  <c r="BB298" i="1"/>
  <c r="AY298" i="1"/>
  <c r="AV298" i="1"/>
  <c r="AS298" i="1"/>
  <c r="AP298" i="1"/>
  <c r="AM298" i="1"/>
  <c r="AA298" i="1"/>
  <c r="CY297" i="1"/>
  <c r="CE297" i="1"/>
  <c r="CB297" i="1"/>
  <c r="BY297" i="1"/>
  <c r="BV297" i="1"/>
  <c r="BQ297" i="1"/>
  <c r="BN297" i="1"/>
  <c r="BK297" i="1"/>
  <c r="BH297" i="1"/>
  <c r="BE297" i="1"/>
  <c r="BB297" i="1"/>
  <c r="AY297" i="1"/>
  <c r="AV297" i="1"/>
  <c r="AS297" i="1"/>
  <c r="AP297" i="1"/>
  <c r="AM297" i="1"/>
  <c r="V297" i="1"/>
  <c r="W297" i="1" s="1"/>
  <c r="CY296" i="1"/>
  <c r="CE296" i="1"/>
  <c r="CB296" i="1"/>
  <c r="BY296" i="1"/>
  <c r="BV296" i="1"/>
  <c r="BQ296" i="1"/>
  <c r="BN296" i="1"/>
  <c r="BK296" i="1"/>
  <c r="BH296" i="1"/>
  <c r="BE296" i="1"/>
  <c r="BB296" i="1"/>
  <c r="AY296" i="1"/>
  <c r="AV296" i="1"/>
  <c r="AS296" i="1"/>
  <c r="AP296" i="1"/>
  <c r="AM296" i="1"/>
  <c r="AA296" i="1"/>
  <c r="V296" i="1"/>
  <c r="W296" i="1" s="1"/>
  <c r="CY294" i="1"/>
  <c r="CE294" i="1"/>
  <c r="CB294" i="1"/>
  <c r="BY294" i="1"/>
  <c r="BV294" i="1"/>
  <c r="BQ294" i="1"/>
  <c r="BN294" i="1"/>
  <c r="BK294" i="1"/>
  <c r="BH294" i="1"/>
  <c r="BE294" i="1"/>
  <c r="BB294" i="1"/>
  <c r="AY294" i="1"/>
  <c r="AV294" i="1"/>
  <c r="AS294" i="1"/>
  <c r="AP294" i="1"/>
  <c r="AM294" i="1"/>
  <c r="V294" i="1"/>
  <c r="W294" i="1" s="1"/>
  <c r="CY293" i="1"/>
  <c r="AM293" i="1"/>
  <c r="BS293" i="1" s="1"/>
  <c r="P293" i="1" s="1"/>
  <c r="AA293" i="1"/>
  <c r="V293" i="1"/>
  <c r="W293" i="1" s="1"/>
  <c r="CE292" i="1"/>
  <c r="CB292" i="1"/>
  <c r="BY292" i="1"/>
  <c r="BV292" i="1"/>
  <c r="BQ292" i="1"/>
  <c r="BN292" i="1"/>
  <c r="BK292" i="1"/>
  <c r="BH292" i="1"/>
  <c r="BE292" i="1"/>
  <c r="BB292" i="1"/>
  <c r="AY292" i="1"/>
  <c r="AV292" i="1"/>
  <c r="AS292" i="1"/>
  <c r="AP292" i="1"/>
  <c r="AM292" i="1"/>
  <c r="V292" i="1"/>
  <c r="W292" i="1" s="1"/>
  <c r="CY291" i="1"/>
  <c r="CE291" i="1"/>
  <c r="CB291" i="1"/>
  <c r="BY291" i="1"/>
  <c r="BV291" i="1"/>
  <c r="BQ291" i="1"/>
  <c r="BN291" i="1"/>
  <c r="BK291" i="1"/>
  <c r="BH291" i="1"/>
  <c r="BE291" i="1"/>
  <c r="BB291" i="1"/>
  <c r="AY291" i="1"/>
  <c r="AV291" i="1"/>
  <c r="AS291" i="1"/>
  <c r="AP291" i="1"/>
  <c r="AM291" i="1"/>
  <c r="AA291" i="1"/>
  <c r="V291" i="1"/>
  <c r="W291" i="1" s="1"/>
  <c r="CY290" i="1"/>
  <c r="CE290" i="1"/>
  <c r="CB290" i="1"/>
  <c r="BY290" i="1"/>
  <c r="BV290" i="1"/>
  <c r="BQ290" i="1"/>
  <c r="BN290" i="1"/>
  <c r="BK290" i="1"/>
  <c r="BH290" i="1"/>
  <c r="BE290" i="1"/>
  <c r="BB290" i="1"/>
  <c r="AY290" i="1"/>
  <c r="AV290" i="1"/>
  <c r="AS290" i="1"/>
  <c r="AP290" i="1"/>
  <c r="AM290" i="1"/>
  <c r="V290" i="1"/>
  <c r="W290" i="1" s="1"/>
  <c r="CY289" i="1"/>
  <c r="CE289" i="1"/>
  <c r="CB289" i="1"/>
  <c r="BY289" i="1"/>
  <c r="BV289" i="1"/>
  <c r="BQ289" i="1"/>
  <c r="BN289" i="1"/>
  <c r="BK289" i="1"/>
  <c r="BH289" i="1"/>
  <c r="BE289" i="1"/>
  <c r="BB289" i="1"/>
  <c r="AY289" i="1"/>
  <c r="AV289" i="1"/>
  <c r="AS289" i="1"/>
  <c r="AP289" i="1"/>
  <c r="AM289" i="1"/>
  <c r="AA289" i="1"/>
  <c r="V289" i="1"/>
  <c r="W289" i="1" s="1"/>
  <c r="CY288" i="1"/>
  <c r="CE288" i="1"/>
  <c r="CB288" i="1"/>
  <c r="BY288" i="1"/>
  <c r="BV288" i="1"/>
  <c r="BQ288" i="1"/>
  <c r="BN288" i="1"/>
  <c r="BK288" i="1"/>
  <c r="BH288" i="1"/>
  <c r="BE288" i="1"/>
  <c r="BB288" i="1"/>
  <c r="AY288" i="1"/>
  <c r="AV288" i="1"/>
  <c r="AS288" i="1"/>
  <c r="AP288" i="1"/>
  <c r="AM288" i="1"/>
  <c r="V288" i="1"/>
  <c r="W288" i="1" s="1"/>
  <c r="CY287" i="1"/>
  <c r="CE287" i="1"/>
  <c r="CB287" i="1"/>
  <c r="BY287" i="1"/>
  <c r="BV287" i="1"/>
  <c r="BQ287" i="1"/>
  <c r="BN287" i="1"/>
  <c r="BK287" i="1"/>
  <c r="BH287" i="1"/>
  <c r="BE287" i="1"/>
  <c r="BB287" i="1"/>
  <c r="AY287" i="1"/>
  <c r="AV287" i="1"/>
  <c r="AS287" i="1"/>
  <c r="AP287" i="1"/>
  <c r="AM287" i="1"/>
  <c r="V287" i="1"/>
  <c r="W287" i="1" s="1"/>
  <c r="CY286" i="1"/>
  <c r="CE286" i="1"/>
  <c r="CB286" i="1"/>
  <c r="BY286" i="1"/>
  <c r="BV286" i="1"/>
  <c r="BQ286" i="1"/>
  <c r="BN286" i="1"/>
  <c r="BK286" i="1"/>
  <c r="BH286" i="1"/>
  <c r="BE286" i="1"/>
  <c r="BB286" i="1"/>
  <c r="AY286" i="1"/>
  <c r="AV286" i="1"/>
  <c r="AS286" i="1"/>
  <c r="AP286" i="1"/>
  <c r="AM286" i="1"/>
  <c r="V286" i="1"/>
  <c r="W286" i="1" s="1"/>
  <c r="CY285" i="1"/>
  <c r="CE285" i="1"/>
  <c r="CB285" i="1"/>
  <c r="BY285" i="1"/>
  <c r="BV285" i="1"/>
  <c r="BQ285" i="1"/>
  <c r="BN285" i="1"/>
  <c r="BK285" i="1"/>
  <c r="BH285" i="1"/>
  <c r="BE285" i="1"/>
  <c r="BB285" i="1"/>
  <c r="AY285" i="1"/>
  <c r="AV285" i="1"/>
  <c r="AS285" i="1"/>
  <c r="AP285" i="1"/>
  <c r="AM285" i="1"/>
  <c r="V285" i="1"/>
  <c r="W285" i="1" s="1"/>
  <c r="CY284" i="1"/>
  <c r="CE284" i="1"/>
  <c r="CB284" i="1"/>
  <c r="BY284" i="1"/>
  <c r="BV284" i="1"/>
  <c r="BQ284" i="1"/>
  <c r="BN284" i="1"/>
  <c r="BK284" i="1"/>
  <c r="BH284" i="1"/>
  <c r="BE284" i="1"/>
  <c r="BB284" i="1"/>
  <c r="AY284" i="1"/>
  <c r="AV284" i="1"/>
  <c r="AS284" i="1"/>
  <c r="AP284" i="1"/>
  <c r="AM284" i="1"/>
  <c r="AA284" i="1"/>
  <c r="CY283" i="1"/>
  <c r="CE283" i="1"/>
  <c r="CB283" i="1"/>
  <c r="BY283" i="1"/>
  <c r="BV283" i="1"/>
  <c r="BQ283" i="1"/>
  <c r="BN283" i="1"/>
  <c r="BK283" i="1"/>
  <c r="BH283" i="1"/>
  <c r="BE283" i="1"/>
  <c r="BB283" i="1"/>
  <c r="AY283" i="1"/>
  <c r="AV283" i="1"/>
  <c r="AS283" i="1"/>
  <c r="AP283" i="1"/>
  <c r="AM283" i="1"/>
  <c r="AA283" i="1"/>
  <c r="CE282" i="1"/>
  <c r="CB282" i="1"/>
  <c r="BY282" i="1"/>
  <c r="BV282" i="1"/>
  <c r="BQ282" i="1"/>
  <c r="BN282" i="1"/>
  <c r="BK282" i="1"/>
  <c r="BH282" i="1"/>
  <c r="BE282" i="1"/>
  <c r="BB282" i="1"/>
  <c r="AY282" i="1"/>
  <c r="AV282" i="1"/>
  <c r="AS282" i="1"/>
  <c r="AP282" i="1"/>
  <c r="AM282" i="1"/>
  <c r="AA282" i="1"/>
  <c r="V282" i="1"/>
  <c r="W282" i="1" s="1"/>
  <c r="BV281" i="1"/>
  <c r="BS281" i="1"/>
  <c r="AA281" i="1"/>
  <c r="CY280" i="1"/>
  <c r="CE280" i="1"/>
  <c r="CB280" i="1"/>
  <c r="BY280" i="1"/>
  <c r="BV280" i="1"/>
  <c r="BQ280" i="1"/>
  <c r="BN280" i="1"/>
  <c r="BK280" i="1"/>
  <c r="BH280" i="1"/>
  <c r="BE280" i="1"/>
  <c r="BB280" i="1"/>
  <c r="AY280" i="1"/>
  <c r="AV280" i="1"/>
  <c r="AS280" i="1"/>
  <c r="AP280" i="1"/>
  <c r="AM280" i="1"/>
  <c r="V280" i="1"/>
  <c r="W280" i="1" s="1"/>
  <c r="CE279" i="1"/>
  <c r="CB279" i="1"/>
  <c r="BY279" i="1"/>
  <c r="BV279" i="1"/>
  <c r="BQ279" i="1"/>
  <c r="BN279" i="1"/>
  <c r="BK279" i="1"/>
  <c r="BH279" i="1"/>
  <c r="BE279" i="1"/>
  <c r="BB279" i="1"/>
  <c r="AY279" i="1"/>
  <c r="AV279" i="1"/>
  <c r="AS279" i="1"/>
  <c r="AP279" i="1"/>
  <c r="AM279" i="1"/>
  <c r="AA279" i="1"/>
  <c r="AB279" i="1" s="1"/>
  <c r="V279" i="1"/>
  <c r="W279" i="1" s="1"/>
  <c r="CY278" i="1"/>
  <c r="CE278" i="1"/>
  <c r="CB278" i="1"/>
  <c r="BY278" i="1"/>
  <c r="BV278" i="1"/>
  <c r="BQ278" i="1"/>
  <c r="BN278" i="1"/>
  <c r="BK278" i="1"/>
  <c r="BH278" i="1"/>
  <c r="BE278" i="1"/>
  <c r="BB278" i="1"/>
  <c r="AY278" i="1"/>
  <c r="AV278" i="1"/>
  <c r="AS278" i="1"/>
  <c r="AP278" i="1"/>
  <c r="AM278" i="1"/>
  <c r="V278" i="1"/>
  <c r="W278" i="1" s="1"/>
  <c r="CY277" i="1"/>
  <c r="CE277" i="1"/>
  <c r="CB277" i="1"/>
  <c r="BY277" i="1"/>
  <c r="BV277" i="1"/>
  <c r="BQ277" i="1"/>
  <c r="BN277" i="1"/>
  <c r="BK277" i="1"/>
  <c r="BH277" i="1"/>
  <c r="BE277" i="1"/>
  <c r="BB277" i="1"/>
  <c r="AY277" i="1"/>
  <c r="AV277" i="1"/>
  <c r="AS277" i="1"/>
  <c r="AP277" i="1"/>
  <c r="AM277" i="1"/>
  <c r="CY271" i="1"/>
  <c r="CE271" i="1"/>
  <c r="CB271" i="1"/>
  <c r="BY271" i="1"/>
  <c r="BV271" i="1"/>
  <c r="BQ271" i="1"/>
  <c r="BN271" i="1"/>
  <c r="BK271" i="1"/>
  <c r="BH271" i="1"/>
  <c r="BE271" i="1"/>
  <c r="BB271" i="1"/>
  <c r="AY271" i="1"/>
  <c r="AV271" i="1"/>
  <c r="AS271" i="1"/>
  <c r="AP271" i="1"/>
  <c r="AM271" i="1"/>
  <c r="V271" i="1"/>
  <c r="W271" i="1" s="1"/>
  <c r="CY270" i="1"/>
  <c r="CE270" i="1"/>
  <c r="CB270" i="1"/>
  <c r="BY270" i="1"/>
  <c r="BV270" i="1"/>
  <c r="BQ270" i="1"/>
  <c r="BN270" i="1"/>
  <c r="BK270" i="1"/>
  <c r="BH270" i="1"/>
  <c r="BE270" i="1"/>
  <c r="BB270" i="1"/>
  <c r="AY270" i="1"/>
  <c r="AV270" i="1"/>
  <c r="AS270" i="1"/>
  <c r="AP270" i="1"/>
  <c r="AM270" i="1"/>
  <c r="AA270" i="1"/>
  <c r="V270" i="1"/>
  <c r="W270" i="1" s="1"/>
  <c r="CY274" i="1"/>
  <c r="CE274" i="1"/>
  <c r="CI274" i="1" s="1"/>
  <c r="AM274" i="1"/>
  <c r="V274" i="1"/>
  <c r="W274" i="1" s="1"/>
  <c r="CY266" i="1"/>
  <c r="AS266" i="1"/>
  <c r="AP266" i="1"/>
  <c r="AM266" i="1"/>
  <c r="V266" i="1"/>
  <c r="W266" i="1" s="1"/>
  <c r="CY262" i="1"/>
  <c r="BQ262" i="1"/>
  <c r="BN262" i="1"/>
  <c r="BK262" i="1"/>
  <c r="BH262" i="1"/>
  <c r="AS262" i="1"/>
  <c r="AP262" i="1"/>
  <c r="AM262" i="1"/>
  <c r="V262" i="1"/>
  <c r="W262" i="1" s="1"/>
  <c r="DR262" i="1"/>
  <c r="CY261" i="1"/>
  <c r="CE261" i="1"/>
  <c r="CB261" i="1"/>
  <c r="BY261" i="1"/>
  <c r="BV261" i="1"/>
  <c r="BQ261" i="1"/>
  <c r="BN261" i="1"/>
  <c r="BK261" i="1"/>
  <c r="BH261" i="1"/>
  <c r="BE261" i="1"/>
  <c r="BB261" i="1"/>
  <c r="AY261" i="1"/>
  <c r="AV261" i="1"/>
  <c r="AS261" i="1"/>
  <c r="AP261" i="1"/>
  <c r="AM261" i="1"/>
  <c r="CY260" i="1"/>
  <c r="CE260" i="1"/>
  <c r="CB260" i="1"/>
  <c r="BY260" i="1"/>
  <c r="BV260" i="1"/>
  <c r="BQ260" i="1"/>
  <c r="BN260" i="1"/>
  <c r="BK260" i="1"/>
  <c r="BH260" i="1"/>
  <c r="BE260" i="1"/>
  <c r="BB260" i="1"/>
  <c r="AY260" i="1"/>
  <c r="AV260" i="1"/>
  <c r="AS260" i="1"/>
  <c r="AP260" i="1"/>
  <c r="AM260" i="1"/>
  <c r="AA260" i="1"/>
  <c r="CY258" i="1"/>
  <c r="CE258" i="1"/>
  <c r="CB258" i="1"/>
  <c r="BY258" i="1"/>
  <c r="BV258" i="1"/>
  <c r="BQ258" i="1"/>
  <c r="BN258" i="1"/>
  <c r="BK258" i="1"/>
  <c r="BH258" i="1"/>
  <c r="BE258" i="1"/>
  <c r="BB258" i="1"/>
  <c r="AY258" i="1"/>
  <c r="AV258" i="1"/>
  <c r="AS258" i="1"/>
  <c r="AP258" i="1"/>
  <c r="AM258" i="1"/>
  <c r="V258" i="1"/>
  <c r="W258" i="1" s="1"/>
  <c r="DR258" i="1"/>
  <c r="CY257" i="1"/>
  <c r="CE257" i="1"/>
  <c r="CB257" i="1"/>
  <c r="BY257" i="1"/>
  <c r="BV257" i="1"/>
  <c r="BQ257" i="1"/>
  <c r="BN257" i="1"/>
  <c r="BK257" i="1"/>
  <c r="BH257" i="1"/>
  <c r="BE257" i="1"/>
  <c r="BB257" i="1"/>
  <c r="AY257" i="1"/>
  <c r="AV257" i="1"/>
  <c r="AS257" i="1"/>
  <c r="AP257" i="1"/>
  <c r="AM257" i="1"/>
  <c r="AA257" i="1"/>
  <c r="CY256" i="1"/>
  <c r="CE256" i="1"/>
  <c r="CB256" i="1"/>
  <c r="BY256" i="1"/>
  <c r="BV256" i="1"/>
  <c r="BQ256" i="1"/>
  <c r="BN256" i="1"/>
  <c r="BK256" i="1"/>
  <c r="BH256" i="1"/>
  <c r="BE256" i="1"/>
  <c r="BB256" i="1"/>
  <c r="AY256" i="1"/>
  <c r="AV256" i="1"/>
  <c r="AS256" i="1"/>
  <c r="AP256" i="1"/>
  <c r="AM256" i="1"/>
  <c r="AA256" i="1"/>
  <c r="V256" i="1"/>
  <c r="W256" i="1" s="1"/>
  <c r="CY255" i="1"/>
  <c r="CE255" i="1"/>
  <c r="CB255" i="1"/>
  <c r="BY255" i="1"/>
  <c r="BV255" i="1"/>
  <c r="BQ255" i="1"/>
  <c r="BN255" i="1"/>
  <c r="BK255" i="1"/>
  <c r="BH255" i="1"/>
  <c r="BE255" i="1"/>
  <c r="BB255" i="1"/>
  <c r="AY255" i="1"/>
  <c r="AV255" i="1"/>
  <c r="AS255" i="1"/>
  <c r="AP255" i="1"/>
  <c r="AM255" i="1"/>
  <c r="AA255" i="1"/>
  <c r="DR255" i="1"/>
  <c r="CY254" i="1"/>
  <c r="CE254" i="1"/>
  <c r="CB254" i="1"/>
  <c r="BY254" i="1"/>
  <c r="BV254" i="1"/>
  <c r="BQ254" i="1"/>
  <c r="BN254" i="1"/>
  <c r="BK254" i="1"/>
  <c r="BH254" i="1"/>
  <c r="BE254" i="1"/>
  <c r="BB254" i="1"/>
  <c r="AY254" i="1"/>
  <c r="AV254" i="1"/>
  <c r="AS254" i="1"/>
  <c r="AP254" i="1"/>
  <c r="AM254" i="1"/>
  <c r="AA254" i="1"/>
  <c r="CY253" i="1"/>
  <c r="CE253" i="1"/>
  <c r="CB253" i="1"/>
  <c r="BY253" i="1"/>
  <c r="BV253" i="1"/>
  <c r="BQ253" i="1"/>
  <c r="BN253" i="1"/>
  <c r="BK253" i="1"/>
  <c r="BH253" i="1"/>
  <c r="BE253" i="1"/>
  <c r="BB253" i="1"/>
  <c r="AY253" i="1"/>
  <c r="AV253" i="1"/>
  <c r="AS253" i="1"/>
  <c r="AP253" i="1"/>
  <c r="AM253" i="1"/>
  <c r="V253" i="1"/>
  <c r="W253" i="1" s="1"/>
  <c r="CY252" i="1"/>
  <c r="CE252" i="1"/>
  <c r="CB252" i="1"/>
  <c r="BY252" i="1"/>
  <c r="BV252" i="1"/>
  <c r="BQ252" i="1"/>
  <c r="BN252" i="1"/>
  <c r="BK252" i="1"/>
  <c r="BH252" i="1"/>
  <c r="BE252" i="1"/>
  <c r="BB252" i="1"/>
  <c r="AY252" i="1"/>
  <c r="AV252" i="1"/>
  <c r="AS252" i="1"/>
  <c r="AP252" i="1"/>
  <c r="AM252" i="1"/>
  <c r="AA252" i="1"/>
  <c r="CY251" i="1"/>
  <c r="CE251" i="1"/>
  <c r="CB251" i="1"/>
  <c r="BY251" i="1"/>
  <c r="BV251" i="1"/>
  <c r="BQ251" i="1"/>
  <c r="BN251" i="1"/>
  <c r="BK251" i="1"/>
  <c r="BH251" i="1"/>
  <c r="BE251" i="1"/>
  <c r="BB251" i="1"/>
  <c r="AY251" i="1"/>
  <c r="AV251" i="1"/>
  <c r="AS251" i="1"/>
  <c r="AP251" i="1"/>
  <c r="AM251" i="1"/>
  <c r="AA251" i="1"/>
  <c r="V251" i="1"/>
  <c r="W251" i="1" s="1"/>
  <c r="DR251" i="1"/>
  <c r="CY250" i="1"/>
  <c r="CE250" i="1"/>
  <c r="CB250" i="1"/>
  <c r="BY250" i="1"/>
  <c r="BV250" i="1"/>
  <c r="BQ250" i="1"/>
  <c r="BN250" i="1"/>
  <c r="BK250" i="1"/>
  <c r="BH250" i="1"/>
  <c r="BE250" i="1"/>
  <c r="BB250" i="1"/>
  <c r="AY250" i="1"/>
  <c r="AV250" i="1"/>
  <c r="AS250" i="1"/>
  <c r="AP250" i="1"/>
  <c r="AM250" i="1"/>
  <c r="AA250" i="1"/>
  <c r="CY249" i="1"/>
  <c r="CE249" i="1"/>
  <c r="CB249" i="1"/>
  <c r="BY249" i="1"/>
  <c r="BV249" i="1"/>
  <c r="BQ249" i="1"/>
  <c r="BN249" i="1"/>
  <c r="BK249" i="1"/>
  <c r="BH249" i="1"/>
  <c r="BE249" i="1"/>
  <c r="BB249" i="1"/>
  <c r="AY249" i="1"/>
  <c r="AV249" i="1"/>
  <c r="AS249" i="1"/>
  <c r="AP249" i="1"/>
  <c r="AM249" i="1"/>
  <c r="AA249" i="1"/>
  <c r="CY248" i="1"/>
  <c r="CE248" i="1"/>
  <c r="CB248" i="1"/>
  <c r="BY248" i="1"/>
  <c r="BV248" i="1"/>
  <c r="BQ248" i="1"/>
  <c r="BN248" i="1"/>
  <c r="BK248" i="1"/>
  <c r="BH248" i="1"/>
  <c r="BE248" i="1"/>
  <c r="BB248" i="1"/>
  <c r="AY248" i="1"/>
  <c r="AV248" i="1"/>
  <c r="AS248" i="1"/>
  <c r="AP248" i="1"/>
  <c r="AM248" i="1"/>
  <c r="AA248" i="1"/>
  <c r="CY247" i="1"/>
  <c r="CE247" i="1"/>
  <c r="CB247" i="1"/>
  <c r="BY247" i="1"/>
  <c r="BV247" i="1"/>
  <c r="BQ247" i="1"/>
  <c r="BN247" i="1"/>
  <c r="BK247" i="1"/>
  <c r="BH247" i="1"/>
  <c r="BE247" i="1"/>
  <c r="BB247" i="1"/>
  <c r="AY247" i="1"/>
  <c r="AV247" i="1"/>
  <c r="AS247" i="1"/>
  <c r="AP247" i="1"/>
  <c r="AM247" i="1"/>
  <c r="AA247" i="1"/>
  <c r="V247" i="1"/>
  <c r="W247" i="1" s="1"/>
  <c r="DR247" i="1"/>
  <c r="CY244" i="1"/>
  <c r="CE244" i="1"/>
  <c r="CB244" i="1"/>
  <c r="BY244" i="1"/>
  <c r="BV244" i="1"/>
  <c r="BQ244" i="1"/>
  <c r="BN244" i="1"/>
  <c r="BK244" i="1"/>
  <c r="BH244" i="1"/>
  <c r="BE244" i="1"/>
  <c r="BB244" i="1"/>
  <c r="AY244" i="1"/>
  <c r="AV244" i="1"/>
  <c r="AS244" i="1"/>
  <c r="AP244" i="1"/>
  <c r="AM244" i="1"/>
  <c r="V244" i="1"/>
  <c r="W244" i="1" s="1"/>
  <c r="DR244" i="1"/>
  <c r="CY243" i="1"/>
  <c r="CE243" i="1"/>
  <c r="CB243" i="1"/>
  <c r="BY243" i="1"/>
  <c r="BV243" i="1"/>
  <c r="BQ243" i="1"/>
  <c r="BN243" i="1"/>
  <c r="BK243" i="1"/>
  <c r="BH243" i="1"/>
  <c r="BE243" i="1"/>
  <c r="BB243" i="1"/>
  <c r="AY243" i="1"/>
  <c r="AV243" i="1"/>
  <c r="AS243" i="1"/>
  <c r="AP243" i="1"/>
  <c r="AM243" i="1"/>
  <c r="V243" i="1"/>
  <c r="W243" i="1" s="1"/>
  <c r="DR243" i="1"/>
  <c r="CY241" i="1"/>
  <c r="CE241" i="1"/>
  <c r="CB241" i="1"/>
  <c r="BY241" i="1"/>
  <c r="BV241" i="1"/>
  <c r="BQ241" i="1"/>
  <c r="BN241" i="1"/>
  <c r="BK241" i="1"/>
  <c r="BH241" i="1"/>
  <c r="BE241" i="1"/>
  <c r="BB241" i="1"/>
  <c r="AY241" i="1"/>
  <c r="AV241" i="1"/>
  <c r="AS241" i="1"/>
  <c r="AP241" i="1"/>
  <c r="AM241" i="1"/>
  <c r="AA241" i="1"/>
  <c r="CY240" i="1"/>
  <c r="CE240" i="1"/>
  <c r="CB240" i="1"/>
  <c r="BY240" i="1"/>
  <c r="BV240" i="1"/>
  <c r="BQ240" i="1"/>
  <c r="BN240" i="1"/>
  <c r="BK240" i="1"/>
  <c r="BH240" i="1"/>
  <c r="BE240" i="1"/>
  <c r="BB240" i="1"/>
  <c r="AY240" i="1"/>
  <c r="AV240" i="1"/>
  <c r="AS240" i="1"/>
  <c r="AP240" i="1"/>
  <c r="AM240" i="1"/>
  <c r="AA240" i="1"/>
  <c r="CY238" i="1"/>
  <c r="AP238" i="1"/>
  <c r="AM238" i="1"/>
  <c r="V238" i="1"/>
  <c r="W238" i="1" s="1"/>
  <c r="DR238" i="1"/>
  <c r="CY237" i="1"/>
  <c r="CE237" i="1"/>
  <c r="CB237" i="1"/>
  <c r="BY237" i="1"/>
  <c r="BV237" i="1"/>
  <c r="BQ237" i="1"/>
  <c r="BN237" i="1"/>
  <c r="BK237" i="1"/>
  <c r="BH237" i="1"/>
  <c r="BE237" i="1"/>
  <c r="BB237" i="1"/>
  <c r="AY237" i="1"/>
  <c r="AV237" i="1"/>
  <c r="AS237" i="1"/>
  <c r="AP237" i="1"/>
  <c r="AM237" i="1"/>
  <c r="AA237" i="1"/>
  <c r="V237" i="1"/>
  <c r="W237" i="1" s="1"/>
  <c r="CY236" i="1"/>
  <c r="CE236" i="1"/>
  <c r="CB236" i="1"/>
  <c r="BY236" i="1"/>
  <c r="BV236" i="1"/>
  <c r="BQ236" i="1"/>
  <c r="BN236" i="1"/>
  <c r="BK236" i="1"/>
  <c r="BH236" i="1"/>
  <c r="BE236" i="1"/>
  <c r="BB236" i="1"/>
  <c r="AY236" i="1"/>
  <c r="AV236" i="1"/>
  <c r="AS236" i="1"/>
  <c r="AP236" i="1"/>
  <c r="AM236" i="1"/>
  <c r="AA236" i="1"/>
  <c r="V236" i="1"/>
  <c r="W236" i="1" s="1"/>
  <c r="CY235" i="1"/>
  <c r="CE235" i="1"/>
  <c r="CB235" i="1"/>
  <c r="BY235" i="1"/>
  <c r="BV235" i="1"/>
  <c r="BQ235" i="1"/>
  <c r="BN235" i="1"/>
  <c r="BK235" i="1"/>
  <c r="BH235" i="1"/>
  <c r="BE235" i="1"/>
  <c r="BB235" i="1"/>
  <c r="AY235" i="1"/>
  <c r="AV235" i="1"/>
  <c r="AS235" i="1"/>
  <c r="AP235" i="1"/>
  <c r="AM235" i="1"/>
  <c r="AA235" i="1"/>
  <c r="DR235" i="1"/>
  <c r="CY234" i="1"/>
  <c r="CE234" i="1"/>
  <c r="CB234" i="1"/>
  <c r="BY234" i="1"/>
  <c r="BV234" i="1"/>
  <c r="BQ234" i="1"/>
  <c r="BN234" i="1"/>
  <c r="BK234" i="1"/>
  <c r="BH234" i="1"/>
  <c r="BE234" i="1"/>
  <c r="AY234" i="1"/>
  <c r="AV234" i="1"/>
  <c r="AS234" i="1"/>
  <c r="AP234" i="1"/>
  <c r="AM234" i="1"/>
  <c r="AA234" i="1"/>
  <c r="V234" i="1"/>
  <c r="W234" i="1" s="1"/>
  <c r="DR234" i="1"/>
  <c r="CY233" i="1"/>
  <c r="CE233" i="1"/>
  <c r="CB233" i="1"/>
  <c r="BY233" i="1"/>
  <c r="BV233" i="1"/>
  <c r="BQ233" i="1"/>
  <c r="BN233" i="1"/>
  <c r="BK233" i="1"/>
  <c r="BH233" i="1"/>
  <c r="BE233" i="1"/>
  <c r="BB233" i="1"/>
  <c r="AY233" i="1"/>
  <c r="AV233" i="1"/>
  <c r="AS233" i="1"/>
  <c r="AP233" i="1"/>
  <c r="AM233" i="1"/>
  <c r="AA233" i="1"/>
  <c r="CY232" i="1"/>
  <c r="CE232" i="1"/>
  <c r="CB232" i="1"/>
  <c r="BY232" i="1"/>
  <c r="BV232" i="1"/>
  <c r="BQ232" i="1"/>
  <c r="BN232" i="1"/>
  <c r="BK232" i="1"/>
  <c r="BH232" i="1"/>
  <c r="BE232" i="1"/>
  <c r="BB232" i="1"/>
  <c r="AY232" i="1"/>
  <c r="AV232" i="1"/>
  <c r="AS232" i="1"/>
  <c r="AP232" i="1"/>
  <c r="AM232" i="1"/>
  <c r="AA232" i="1"/>
  <c r="CY229" i="1"/>
  <c r="CE229" i="1"/>
  <c r="CB229" i="1"/>
  <c r="BY229" i="1"/>
  <c r="BV229" i="1"/>
  <c r="BQ229" i="1"/>
  <c r="BN229" i="1"/>
  <c r="BK229" i="1"/>
  <c r="BH229" i="1"/>
  <c r="BE229" i="1"/>
  <c r="BB229" i="1"/>
  <c r="AY229" i="1"/>
  <c r="AV229" i="1"/>
  <c r="AS229" i="1"/>
  <c r="AP229" i="1"/>
  <c r="AM229" i="1"/>
  <c r="V229" i="1"/>
  <c r="W229" i="1" s="1"/>
  <c r="CY228" i="1"/>
  <c r="CE228" i="1"/>
  <c r="CB228" i="1"/>
  <c r="BY228" i="1"/>
  <c r="BV228" i="1"/>
  <c r="BQ228" i="1"/>
  <c r="BN228" i="1"/>
  <c r="BK228" i="1"/>
  <c r="BH228" i="1"/>
  <c r="BE228" i="1"/>
  <c r="BB228" i="1"/>
  <c r="AY228" i="1"/>
  <c r="AV228" i="1"/>
  <c r="AS228" i="1"/>
  <c r="AP228" i="1"/>
  <c r="AM228" i="1"/>
  <c r="AA228" i="1"/>
  <c r="CY227" i="1"/>
  <c r="CE227" i="1"/>
  <c r="CB227" i="1"/>
  <c r="BY227" i="1"/>
  <c r="BV227" i="1"/>
  <c r="BQ227" i="1"/>
  <c r="BN227" i="1"/>
  <c r="BK227" i="1"/>
  <c r="BH227" i="1"/>
  <c r="BE227" i="1"/>
  <c r="BB227" i="1"/>
  <c r="AY227" i="1"/>
  <c r="AV227" i="1"/>
  <c r="AS227" i="1"/>
  <c r="AP227" i="1"/>
  <c r="AM227" i="1"/>
  <c r="V227" i="1"/>
  <c r="W227" i="1" s="1"/>
  <c r="DR227" i="1"/>
  <c r="CY226" i="1"/>
  <c r="CE226" i="1"/>
  <c r="CB226" i="1"/>
  <c r="BY226" i="1"/>
  <c r="BV226" i="1"/>
  <c r="BQ226" i="1"/>
  <c r="BN226" i="1"/>
  <c r="BK226" i="1"/>
  <c r="BH226" i="1"/>
  <c r="BE226" i="1"/>
  <c r="BB226" i="1"/>
  <c r="AY226" i="1"/>
  <c r="AV226" i="1"/>
  <c r="AS226" i="1"/>
  <c r="AP226" i="1"/>
  <c r="AM226" i="1"/>
  <c r="V226" i="1"/>
  <c r="W226" i="1" s="1"/>
  <c r="DR226" i="1"/>
  <c r="CY225" i="1"/>
  <c r="CE225" i="1"/>
  <c r="CB225" i="1"/>
  <c r="BY225" i="1"/>
  <c r="BV225" i="1"/>
  <c r="BQ225" i="1"/>
  <c r="BN225" i="1"/>
  <c r="BK225" i="1"/>
  <c r="BH225" i="1"/>
  <c r="BE225" i="1"/>
  <c r="BB225" i="1"/>
  <c r="AY225" i="1"/>
  <c r="AV225" i="1"/>
  <c r="AS225" i="1"/>
  <c r="AP225" i="1"/>
  <c r="AM225" i="1"/>
  <c r="V225" i="1"/>
  <c r="W225" i="1" s="1"/>
  <c r="X225" i="1" s="1"/>
  <c r="CY224" i="1"/>
  <c r="CE224" i="1"/>
  <c r="CB224" i="1"/>
  <c r="BY224" i="1"/>
  <c r="BV224" i="1"/>
  <c r="BQ224" i="1"/>
  <c r="BN224" i="1"/>
  <c r="BK224" i="1"/>
  <c r="BH224" i="1"/>
  <c r="BE224" i="1"/>
  <c r="BB224" i="1"/>
  <c r="AY224" i="1"/>
  <c r="AV224" i="1"/>
  <c r="AS224" i="1"/>
  <c r="AP224" i="1"/>
  <c r="AM224" i="1"/>
  <c r="V224" i="1"/>
  <c r="W224" i="1" s="1"/>
  <c r="CY223" i="1"/>
  <c r="CE223" i="1"/>
  <c r="CB223" i="1"/>
  <c r="BY223" i="1"/>
  <c r="BV223" i="1"/>
  <c r="BQ223" i="1"/>
  <c r="BN223" i="1"/>
  <c r="BK223" i="1"/>
  <c r="BH223" i="1"/>
  <c r="BE223" i="1"/>
  <c r="BB223" i="1"/>
  <c r="AY223" i="1"/>
  <c r="AV223" i="1"/>
  <c r="AS223" i="1"/>
  <c r="AP223" i="1"/>
  <c r="AM223" i="1"/>
  <c r="V223" i="1"/>
  <c r="W223" i="1" s="1"/>
  <c r="DR223" i="1"/>
  <c r="CY222" i="1"/>
  <c r="CE222" i="1"/>
  <c r="CB222" i="1"/>
  <c r="BY222" i="1"/>
  <c r="BV222" i="1"/>
  <c r="BQ222" i="1"/>
  <c r="BN222" i="1"/>
  <c r="BK222" i="1"/>
  <c r="BH222" i="1"/>
  <c r="BE222" i="1"/>
  <c r="BB222" i="1"/>
  <c r="AY222" i="1"/>
  <c r="AV222" i="1"/>
  <c r="AS222" i="1"/>
  <c r="AP222" i="1"/>
  <c r="AM222" i="1"/>
  <c r="V222" i="1"/>
  <c r="W222" i="1" s="1"/>
  <c r="DR222" i="1"/>
  <c r="CY221" i="1"/>
  <c r="CE221" i="1"/>
  <c r="CB221" i="1"/>
  <c r="BY221" i="1"/>
  <c r="BV221" i="1"/>
  <c r="BQ221" i="1"/>
  <c r="BN221" i="1"/>
  <c r="BK221" i="1"/>
  <c r="BH221" i="1"/>
  <c r="BE221" i="1"/>
  <c r="BB221" i="1"/>
  <c r="AY221" i="1"/>
  <c r="AV221" i="1"/>
  <c r="AS221" i="1"/>
  <c r="AP221" i="1"/>
  <c r="AM221" i="1"/>
  <c r="V221" i="1"/>
  <c r="W221" i="1" s="1"/>
  <c r="CE220" i="1"/>
  <c r="CB220" i="1"/>
  <c r="BY220" i="1"/>
  <c r="BV220" i="1"/>
  <c r="BQ220" i="1"/>
  <c r="BN220" i="1"/>
  <c r="BK220" i="1"/>
  <c r="BH220" i="1"/>
  <c r="BE220" i="1"/>
  <c r="BB220" i="1"/>
  <c r="AY220" i="1"/>
  <c r="AV220" i="1"/>
  <c r="AS220" i="1"/>
  <c r="AP220" i="1"/>
  <c r="AM220" i="1"/>
  <c r="V220" i="1"/>
  <c r="W220" i="1" s="1"/>
  <c r="CE219" i="1"/>
  <c r="CB219" i="1"/>
  <c r="BY219" i="1"/>
  <c r="BV219" i="1"/>
  <c r="BQ219" i="1"/>
  <c r="BN219" i="1"/>
  <c r="BK219" i="1"/>
  <c r="BH219" i="1"/>
  <c r="BE219" i="1"/>
  <c r="BB219" i="1"/>
  <c r="AY219" i="1"/>
  <c r="AV219" i="1"/>
  <c r="AS219" i="1"/>
  <c r="AP219" i="1"/>
  <c r="AM219" i="1"/>
  <c r="AA219" i="1"/>
  <c r="V219" i="1"/>
  <c r="W219" i="1" s="1"/>
  <c r="DR219" i="1"/>
  <c r="CY218" i="1"/>
  <c r="CE218" i="1"/>
  <c r="CB218" i="1"/>
  <c r="BY218" i="1"/>
  <c r="BV218" i="1"/>
  <c r="BQ218" i="1"/>
  <c r="BN218" i="1"/>
  <c r="BK218" i="1"/>
  <c r="BH218" i="1"/>
  <c r="BE218" i="1"/>
  <c r="BB218" i="1"/>
  <c r="AY218" i="1"/>
  <c r="AV218" i="1"/>
  <c r="AS218" i="1"/>
  <c r="AP218" i="1"/>
  <c r="AM218" i="1"/>
  <c r="AA218" i="1"/>
  <c r="V218" i="1"/>
  <c r="W218" i="1" s="1"/>
  <c r="DR218" i="1"/>
  <c r="CY217" i="1"/>
  <c r="CE217" i="1"/>
  <c r="CB217" i="1"/>
  <c r="BY217" i="1"/>
  <c r="BV217" i="1"/>
  <c r="BQ217" i="1"/>
  <c r="BN217" i="1"/>
  <c r="BK217" i="1"/>
  <c r="BH217" i="1"/>
  <c r="BE217" i="1"/>
  <c r="BB217" i="1"/>
  <c r="AY217" i="1"/>
  <c r="AV217" i="1"/>
  <c r="AS217" i="1"/>
  <c r="AP217" i="1"/>
  <c r="AM217" i="1"/>
  <c r="AA217" i="1"/>
  <c r="V217" i="1"/>
  <c r="W217" i="1" s="1"/>
  <c r="CY216" i="1"/>
  <c r="CE216" i="1"/>
  <c r="CB216" i="1"/>
  <c r="BY216" i="1"/>
  <c r="BV216" i="1"/>
  <c r="BQ216" i="1"/>
  <c r="BN216" i="1"/>
  <c r="BK216" i="1"/>
  <c r="BH216" i="1"/>
  <c r="BE216" i="1"/>
  <c r="BB216" i="1"/>
  <c r="AY216" i="1"/>
  <c r="AV216" i="1"/>
  <c r="AS216" i="1"/>
  <c r="AP216" i="1"/>
  <c r="AM216" i="1"/>
  <c r="AA216" i="1"/>
  <c r="CY215" i="1"/>
  <c r="CE215" i="1"/>
  <c r="CB215" i="1"/>
  <c r="BY215" i="1"/>
  <c r="BV215" i="1"/>
  <c r="BQ215" i="1"/>
  <c r="BN215" i="1"/>
  <c r="BK215" i="1"/>
  <c r="BH215" i="1"/>
  <c r="BE215" i="1"/>
  <c r="BB215" i="1"/>
  <c r="AY215" i="1"/>
  <c r="AV215" i="1"/>
  <c r="AS215" i="1"/>
  <c r="AP215" i="1"/>
  <c r="AM215" i="1"/>
  <c r="AA215" i="1"/>
  <c r="CY214" i="1"/>
  <c r="CE214" i="1"/>
  <c r="CB214" i="1"/>
  <c r="BY214" i="1"/>
  <c r="BV214" i="1"/>
  <c r="BQ214" i="1"/>
  <c r="BN214" i="1"/>
  <c r="BK214" i="1"/>
  <c r="BH214" i="1"/>
  <c r="BE214" i="1"/>
  <c r="BB214" i="1"/>
  <c r="AY214" i="1"/>
  <c r="AV214" i="1"/>
  <c r="AS214" i="1"/>
  <c r="AP214" i="1"/>
  <c r="AM214" i="1"/>
  <c r="AA214" i="1"/>
  <c r="DR214" i="1"/>
  <c r="CY213" i="1"/>
  <c r="CE213" i="1"/>
  <c r="CB213" i="1"/>
  <c r="BY213" i="1"/>
  <c r="BV213" i="1"/>
  <c r="BQ213" i="1"/>
  <c r="BN213" i="1"/>
  <c r="BK213" i="1"/>
  <c r="BH213" i="1"/>
  <c r="BE213" i="1"/>
  <c r="BB213" i="1"/>
  <c r="AY213" i="1"/>
  <c r="AV213" i="1"/>
  <c r="AS213" i="1"/>
  <c r="AP213" i="1"/>
  <c r="AM213" i="1"/>
  <c r="V213" i="1"/>
  <c r="W213" i="1" s="1"/>
  <c r="CE211" i="1"/>
  <c r="CB211" i="1"/>
  <c r="BY211" i="1"/>
  <c r="BV211" i="1"/>
  <c r="BQ211" i="1"/>
  <c r="BN211" i="1"/>
  <c r="BK211" i="1"/>
  <c r="BH211" i="1"/>
  <c r="BE211" i="1"/>
  <c r="BB211" i="1"/>
  <c r="AY211" i="1"/>
  <c r="AV211" i="1"/>
  <c r="AS211" i="1"/>
  <c r="AP211" i="1"/>
  <c r="AM211" i="1"/>
  <c r="V211" i="1"/>
  <c r="W211" i="1" s="1"/>
  <c r="DR211" i="1"/>
  <c r="CE210" i="1"/>
  <c r="CB210" i="1"/>
  <c r="BY210" i="1"/>
  <c r="BV210" i="1"/>
  <c r="BQ210" i="1"/>
  <c r="BN210" i="1"/>
  <c r="BK210" i="1"/>
  <c r="BH210" i="1"/>
  <c r="BE210" i="1"/>
  <c r="BB210" i="1"/>
  <c r="AY210" i="1"/>
  <c r="AV210" i="1"/>
  <c r="AS210" i="1"/>
  <c r="AP210" i="1"/>
  <c r="AM210" i="1"/>
  <c r="V210" i="1"/>
  <c r="W210" i="1" s="1"/>
  <c r="DR210" i="1"/>
  <c r="CY209" i="1"/>
  <c r="CE209" i="1"/>
  <c r="CB209" i="1"/>
  <c r="BY209" i="1"/>
  <c r="BV209" i="1"/>
  <c r="AY209" i="1"/>
  <c r="AV209" i="1"/>
  <c r="AS209" i="1"/>
  <c r="AP209" i="1"/>
  <c r="AM209" i="1"/>
  <c r="AA209" i="1"/>
  <c r="V209" i="1"/>
  <c r="W209" i="1" s="1"/>
  <c r="CY208" i="1"/>
  <c r="CE208" i="1"/>
  <c r="CB208" i="1"/>
  <c r="BY208" i="1"/>
  <c r="BV208" i="1"/>
  <c r="AY208" i="1"/>
  <c r="AV208" i="1"/>
  <c r="AS208" i="1"/>
  <c r="AP208" i="1"/>
  <c r="AM208" i="1"/>
  <c r="AA208" i="1"/>
  <c r="V208" i="1"/>
  <c r="W208" i="1" s="1"/>
  <c r="CY207" i="1"/>
  <c r="CE207" i="1"/>
  <c r="CB207" i="1"/>
  <c r="BY207" i="1"/>
  <c r="BV207" i="1"/>
  <c r="BQ207" i="1"/>
  <c r="BN207" i="1"/>
  <c r="BK207" i="1"/>
  <c r="BH207" i="1"/>
  <c r="BE207" i="1"/>
  <c r="BB207" i="1"/>
  <c r="AY207" i="1"/>
  <c r="AV207" i="1"/>
  <c r="AS207" i="1"/>
  <c r="AP207" i="1"/>
  <c r="AM207" i="1"/>
  <c r="AA207" i="1"/>
  <c r="V207" i="1"/>
  <c r="W207" i="1" s="1"/>
  <c r="DR207" i="1"/>
  <c r="CY206" i="1"/>
  <c r="CE206" i="1"/>
  <c r="CB206" i="1"/>
  <c r="BY206" i="1"/>
  <c r="BV206" i="1"/>
  <c r="BQ206" i="1"/>
  <c r="BN206" i="1"/>
  <c r="BK206" i="1"/>
  <c r="BH206" i="1"/>
  <c r="BE206" i="1"/>
  <c r="BB206" i="1"/>
  <c r="AY206" i="1"/>
  <c r="AV206" i="1"/>
  <c r="AS206" i="1"/>
  <c r="AP206" i="1"/>
  <c r="AM206" i="1"/>
  <c r="AA206" i="1"/>
  <c r="V206" i="1"/>
  <c r="W206" i="1" s="1"/>
  <c r="DR206" i="1"/>
  <c r="CY205" i="1"/>
  <c r="CE205" i="1"/>
  <c r="CB205" i="1"/>
  <c r="BY205" i="1"/>
  <c r="BV205" i="1"/>
  <c r="BQ205" i="1"/>
  <c r="BN205" i="1"/>
  <c r="BK205" i="1"/>
  <c r="BH205" i="1"/>
  <c r="BE205" i="1"/>
  <c r="BB205" i="1"/>
  <c r="AY205" i="1"/>
  <c r="AV205" i="1"/>
  <c r="AS205" i="1"/>
  <c r="AP205" i="1"/>
  <c r="AM205" i="1"/>
  <c r="AA205" i="1"/>
  <c r="V205" i="1"/>
  <c r="W205" i="1" s="1"/>
  <c r="CY204" i="1"/>
  <c r="CE204" i="1"/>
  <c r="CB204" i="1"/>
  <c r="BY204" i="1"/>
  <c r="BV204" i="1"/>
  <c r="BQ204" i="1"/>
  <c r="BN204" i="1"/>
  <c r="BK204" i="1"/>
  <c r="BH204" i="1"/>
  <c r="BE204" i="1"/>
  <c r="BB204" i="1"/>
  <c r="AY204" i="1"/>
  <c r="AV204" i="1"/>
  <c r="AS204" i="1"/>
  <c r="AP204" i="1"/>
  <c r="AM204" i="1"/>
  <c r="V204" i="1"/>
  <c r="W204" i="1" s="1"/>
  <c r="CY203" i="1"/>
  <c r="CE203" i="1"/>
  <c r="CB203" i="1"/>
  <c r="BY203" i="1"/>
  <c r="BV203" i="1"/>
  <c r="BQ203" i="1"/>
  <c r="BN203" i="1"/>
  <c r="BK203" i="1"/>
  <c r="BH203" i="1"/>
  <c r="BE203" i="1"/>
  <c r="BB203" i="1"/>
  <c r="AY203" i="1"/>
  <c r="AV203" i="1"/>
  <c r="AS203" i="1"/>
  <c r="AP203" i="1"/>
  <c r="AM203" i="1"/>
  <c r="V203" i="1"/>
  <c r="W203" i="1" s="1"/>
  <c r="DR203" i="1"/>
  <c r="CY202" i="1"/>
  <c r="CE202" i="1"/>
  <c r="CB202" i="1"/>
  <c r="BY202" i="1"/>
  <c r="BV202" i="1"/>
  <c r="BQ202" i="1"/>
  <c r="BN202" i="1"/>
  <c r="BK202" i="1"/>
  <c r="BH202" i="1"/>
  <c r="BE202" i="1"/>
  <c r="BB202" i="1"/>
  <c r="AY202" i="1"/>
  <c r="AV202" i="1"/>
  <c r="AS202" i="1"/>
  <c r="AP202" i="1"/>
  <c r="AM202" i="1"/>
  <c r="AA202" i="1"/>
  <c r="V202" i="1"/>
  <c r="W202" i="1" s="1"/>
  <c r="DR202" i="1"/>
  <c r="CY197" i="1"/>
  <c r="CE197" i="1"/>
  <c r="CB197" i="1"/>
  <c r="BY197" i="1"/>
  <c r="BV197" i="1"/>
  <c r="BQ197" i="1"/>
  <c r="BN197" i="1"/>
  <c r="BK197" i="1"/>
  <c r="BH197" i="1"/>
  <c r="BE197" i="1"/>
  <c r="BB197" i="1"/>
  <c r="AY197" i="1"/>
  <c r="AV197" i="1"/>
  <c r="AS197" i="1"/>
  <c r="AP197" i="1"/>
  <c r="AM197" i="1"/>
  <c r="AA197" i="1"/>
  <c r="V197" i="1"/>
  <c r="W197" i="1" s="1"/>
  <c r="CY196" i="1"/>
  <c r="CE196" i="1"/>
  <c r="BY196" i="1"/>
  <c r="BV196" i="1"/>
  <c r="AS196" i="1"/>
  <c r="AP196" i="1"/>
  <c r="AM196" i="1"/>
  <c r="CY194" i="1"/>
  <c r="AM194" i="1"/>
  <c r="V194" i="1"/>
  <c r="W194" i="1" s="1"/>
  <c r="DR194" i="1"/>
  <c r="CY195" i="1"/>
  <c r="CE195" i="1"/>
  <c r="CB195" i="1"/>
  <c r="BY195" i="1"/>
  <c r="BV195" i="1"/>
  <c r="BQ195" i="1"/>
  <c r="BN195" i="1"/>
  <c r="BK195" i="1"/>
  <c r="BH195" i="1"/>
  <c r="BB195" i="1"/>
  <c r="AY195" i="1"/>
  <c r="AV195" i="1"/>
  <c r="AS195" i="1"/>
  <c r="AP195" i="1"/>
  <c r="AM195" i="1"/>
  <c r="AA195" i="1"/>
  <c r="V195" i="1"/>
  <c r="W195" i="1" s="1"/>
  <c r="DR195" i="1"/>
  <c r="CY193" i="1"/>
  <c r="CE193" i="1"/>
  <c r="CB193" i="1"/>
  <c r="BY193" i="1"/>
  <c r="BV193" i="1"/>
  <c r="BQ193" i="1"/>
  <c r="BN193" i="1"/>
  <c r="BK193" i="1"/>
  <c r="BH193" i="1"/>
  <c r="BE193" i="1"/>
  <c r="BB193" i="1"/>
  <c r="AY193" i="1"/>
  <c r="AV193" i="1"/>
  <c r="AS193" i="1"/>
  <c r="AP193" i="1"/>
  <c r="AM193" i="1"/>
  <c r="V193" i="1"/>
  <c r="W193" i="1" s="1"/>
  <c r="CY192" i="1"/>
  <c r="CE192" i="1"/>
  <c r="CB192" i="1"/>
  <c r="BY192" i="1"/>
  <c r="BV192" i="1"/>
  <c r="BQ192" i="1"/>
  <c r="BN192" i="1"/>
  <c r="BK192" i="1"/>
  <c r="V192" i="1"/>
  <c r="W192" i="1" s="1"/>
  <c r="CY191" i="1"/>
  <c r="CE191" i="1"/>
  <c r="CB191" i="1"/>
  <c r="BY191" i="1"/>
  <c r="BV191" i="1"/>
  <c r="BQ191" i="1"/>
  <c r="BN191" i="1"/>
  <c r="BK191" i="1"/>
  <c r="V191" i="1"/>
  <c r="W191" i="1" s="1"/>
  <c r="DR191" i="1"/>
  <c r="CY190" i="1"/>
  <c r="CE190" i="1"/>
  <c r="CB190" i="1"/>
  <c r="BY190" i="1"/>
  <c r="BV190" i="1"/>
  <c r="BQ190" i="1"/>
  <c r="BN190" i="1"/>
  <c r="BK190" i="1"/>
  <c r="BH190" i="1"/>
  <c r="BE190" i="1"/>
  <c r="BB190" i="1"/>
  <c r="AY190" i="1"/>
  <c r="AV190" i="1"/>
  <c r="AS190" i="1"/>
  <c r="AP190" i="1"/>
  <c r="CY189" i="1"/>
  <c r="CE189" i="1"/>
  <c r="CB189" i="1"/>
  <c r="BY189" i="1"/>
  <c r="BV189" i="1"/>
  <c r="BQ189" i="1"/>
  <c r="BN189" i="1"/>
  <c r="BK189" i="1"/>
  <c r="BH189" i="1"/>
  <c r="BE189" i="1"/>
  <c r="BB189" i="1"/>
  <c r="AY189" i="1"/>
  <c r="AV189" i="1"/>
  <c r="AS189" i="1"/>
  <c r="AP189" i="1"/>
  <c r="AM189" i="1"/>
  <c r="AA189" i="1"/>
  <c r="CY187" i="1"/>
  <c r="BQ187" i="1"/>
  <c r="BN187" i="1"/>
  <c r="BK187" i="1"/>
  <c r="BH187" i="1"/>
  <c r="BE187" i="1"/>
  <c r="BB187" i="1"/>
  <c r="AY187" i="1"/>
  <c r="AV187" i="1"/>
  <c r="AS187" i="1"/>
  <c r="AP187" i="1"/>
  <c r="AM187" i="1"/>
  <c r="V187" i="1"/>
  <c r="W187" i="1" s="1"/>
  <c r="CY185" i="1"/>
  <c r="CE185" i="1"/>
  <c r="CB185" i="1"/>
  <c r="BY185" i="1"/>
  <c r="BV185" i="1"/>
  <c r="BQ185" i="1"/>
  <c r="BN185" i="1"/>
  <c r="BK185" i="1"/>
  <c r="BH185" i="1"/>
  <c r="BE185" i="1"/>
  <c r="BB185" i="1"/>
  <c r="AY185" i="1"/>
  <c r="AV185" i="1"/>
  <c r="AS185" i="1"/>
  <c r="AP185" i="1"/>
  <c r="AM185" i="1"/>
  <c r="AA185" i="1"/>
  <c r="V185" i="1"/>
  <c r="W185" i="1" s="1"/>
  <c r="DR185" i="1"/>
  <c r="CY184" i="1"/>
  <c r="CE184" i="1"/>
  <c r="CB184" i="1"/>
  <c r="BY184" i="1"/>
  <c r="BV184" i="1"/>
  <c r="BQ184" i="1"/>
  <c r="BN184" i="1"/>
  <c r="BK184" i="1"/>
  <c r="BE184" i="1"/>
  <c r="AS184" i="1"/>
  <c r="AP184" i="1"/>
  <c r="AM184" i="1"/>
  <c r="AA184" i="1"/>
  <c r="V184" i="1"/>
  <c r="W184" i="1" s="1"/>
  <c r="DR184" i="1"/>
  <c r="CY183" i="1"/>
  <c r="CE183" i="1"/>
  <c r="CB183" i="1"/>
  <c r="BY183" i="1"/>
  <c r="BV183" i="1"/>
  <c r="BQ183" i="1"/>
  <c r="BN183" i="1"/>
  <c r="BK183" i="1"/>
  <c r="BH183" i="1"/>
  <c r="BE183" i="1"/>
  <c r="BB183" i="1"/>
  <c r="AY183" i="1"/>
  <c r="AV183" i="1"/>
  <c r="AS183" i="1"/>
  <c r="AP183" i="1"/>
  <c r="AM183" i="1"/>
  <c r="V183" i="1"/>
  <c r="W183" i="1" s="1"/>
  <c r="CY182" i="1"/>
  <c r="CE182" i="1"/>
  <c r="CB182" i="1"/>
  <c r="BY182" i="1"/>
  <c r="BV182" i="1"/>
  <c r="BQ182" i="1"/>
  <c r="BN182" i="1"/>
  <c r="BK182" i="1"/>
  <c r="BH182" i="1"/>
  <c r="BE182" i="1"/>
  <c r="BB182" i="1"/>
  <c r="AY182" i="1"/>
  <c r="AV182" i="1"/>
  <c r="AS182" i="1"/>
  <c r="AP182" i="1"/>
  <c r="AM182" i="1"/>
  <c r="V182" i="1"/>
  <c r="W182" i="1" s="1"/>
  <c r="CY181" i="1"/>
  <c r="CE181" i="1"/>
  <c r="CB181" i="1"/>
  <c r="BY181" i="1"/>
  <c r="BV181" i="1"/>
  <c r="BQ181" i="1"/>
  <c r="BN181" i="1"/>
  <c r="BK181" i="1"/>
  <c r="BH181" i="1"/>
  <c r="BE181" i="1"/>
  <c r="BB181" i="1"/>
  <c r="AY181" i="1"/>
  <c r="AV181" i="1"/>
  <c r="AS181" i="1"/>
  <c r="AP181" i="1"/>
  <c r="AM181" i="1"/>
  <c r="AA181" i="1"/>
  <c r="V181" i="1"/>
  <c r="W181" i="1" s="1"/>
  <c r="DR181" i="1"/>
  <c r="CY180" i="1"/>
  <c r="CE180" i="1"/>
  <c r="CB180" i="1"/>
  <c r="BY180" i="1"/>
  <c r="BV180" i="1"/>
  <c r="BQ180" i="1"/>
  <c r="BN180" i="1"/>
  <c r="BK180" i="1"/>
  <c r="BH180" i="1"/>
  <c r="BE180" i="1"/>
  <c r="BB180" i="1"/>
  <c r="AY180" i="1"/>
  <c r="AV180" i="1"/>
  <c r="AS180" i="1"/>
  <c r="AP180" i="1"/>
  <c r="AM180" i="1"/>
  <c r="V180" i="1"/>
  <c r="W180" i="1" s="1"/>
  <c r="DR180" i="1"/>
  <c r="BQ178" i="1"/>
  <c r="BN178" i="1"/>
  <c r="BK178" i="1"/>
  <c r="BH178" i="1"/>
  <c r="BE178" i="1"/>
  <c r="BB178" i="1"/>
  <c r="AY178" i="1"/>
  <c r="AV178" i="1"/>
  <c r="AS178" i="1"/>
  <c r="AP178" i="1"/>
  <c r="AM178" i="1"/>
  <c r="CE177" i="1"/>
  <c r="CB177" i="1"/>
  <c r="BY177" i="1"/>
  <c r="BV177" i="1"/>
  <c r="BQ177" i="1"/>
  <c r="BN177" i="1"/>
  <c r="BK177" i="1"/>
  <c r="BH177" i="1"/>
  <c r="BE177" i="1"/>
  <c r="BB177" i="1"/>
  <c r="AY177" i="1"/>
  <c r="AV177" i="1"/>
  <c r="AS177" i="1"/>
  <c r="AP177" i="1"/>
  <c r="AM177" i="1"/>
  <c r="CY176" i="1"/>
  <c r="CE176" i="1"/>
  <c r="CB176" i="1"/>
  <c r="BY176" i="1"/>
  <c r="BV176" i="1"/>
  <c r="BQ176" i="1"/>
  <c r="BN176" i="1"/>
  <c r="BK176" i="1"/>
  <c r="BH176" i="1"/>
  <c r="BE176" i="1"/>
  <c r="BB176" i="1"/>
  <c r="AY176" i="1"/>
  <c r="AV176" i="1"/>
  <c r="AS176" i="1"/>
  <c r="AP176" i="1"/>
  <c r="AM176" i="1"/>
  <c r="V176" i="1"/>
  <c r="W176" i="1" s="1"/>
  <c r="DR176" i="1"/>
  <c r="CY175" i="1"/>
  <c r="CE175" i="1"/>
  <c r="CB175" i="1"/>
  <c r="BY175" i="1"/>
  <c r="BV175" i="1"/>
  <c r="BQ175" i="1"/>
  <c r="BN175" i="1"/>
  <c r="BK175" i="1"/>
  <c r="BH175" i="1"/>
  <c r="BE175" i="1"/>
  <c r="BB175" i="1"/>
  <c r="AY175" i="1"/>
  <c r="AV175" i="1"/>
  <c r="AS175" i="1"/>
  <c r="AP175" i="1"/>
  <c r="AM175" i="1"/>
  <c r="AA175" i="1"/>
  <c r="V175" i="1"/>
  <c r="W175" i="1" s="1"/>
  <c r="CY174" i="1"/>
  <c r="CE174" i="1"/>
  <c r="CB174" i="1"/>
  <c r="BY174" i="1"/>
  <c r="BV174" i="1"/>
  <c r="BQ174" i="1"/>
  <c r="BN174" i="1"/>
  <c r="BK174" i="1"/>
  <c r="BH174" i="1"/>
  <c r="BE174" i="1"/>
  <c r="BB174" i="1"/>
  <c r="AY174" i="1"/>
  <c r="AV174" i="1"/>
  <c r="AS174" i="1"/>
  <c r="AP174" i="1"/>
  <c r="AM174" i="1"/>
  <c r="V174" i="1"/>
  <c r="W174" i="1" s="1"/>
  <c r="CY173" i="1"/>
  <c r="CE173" i="1"/>
  <c r="CB173" i="1"/>
  <c r="BY173" i="1"/>
  <c r="BV173" i="1"/>
  <c r="AM173" i="1"/>
  <c r="AA173" i="1"/>
  <c r="CY172" i="1"/>
  <c r="DC172" i="1" s="1"/>
  <c r="CE172" i="1"/>
  <c r="CB172" i="1"/>
  <c r="BY172" i="1"/>
  <c r="BV172" i="1"/>
  <c r="BQ172" i="1"/>
  <c r="BN172" i="1"/>
  <c r="BK172" i="1"/>
  <c r="BH172" i="1"/>
  <c r="BE172" i="1"/>
  <c r="BB172" i="1"/>
  <c r="AY172" i="1"/>
  <c r="AV172" i="1"/>
  <c r="AS172" i="1"/>
  <c r="AP172" i="1"/>
  <c r="AM172" i="1"/>
  <c r="AA172" i="1"/>
  <c r="V172" i="1"/>
  <c r="W172" i="1" s="1"/>
  <c r="CE170" i="1"/>
  <c r="CB170" i="1"/>
  <c r="BY170" i="1"/>
  <c r="BV170" i="1"/>
  <c r="BQ170" i="1"/>
  <c r="BN170" i="1"/>
  <c r="BK170" i="1"/>
  <c r="BH170" i="1"/>
  <c r="BE170" i="1"/>
  <c r="BB170" i="1"/>
  <c r="AY170" i="1"/>
  <c r="AV170" i="1"/>
  <c r="AS170" i="1"/>
  <c r="AN170" i="1"/>
  <c r="AM170" i="1"/>
  <c r="V170" i="1"/>
  <c r="W170" i="1" s="1"/>
  <c r="CY169" i="1"/>
  <c r="CE169" i="1"/>
  <c r="CB169" i="1"/>
  <c r="BY169" i="1"/>
  <c r="BV169" i="1"/>
  <c r="BQ169" i="1"/>
  <c r="BN169" i="1"/>
  <c r="BK169" i="1"/>
  <c r="BH169" i="1"/>
  <c r="BE169" i="1"/>
  <c r="BB169" i="1"/>
  <c r="AY169" i="1"/>
  <c r="AV169" i="1"/>
  <c r="AS169" i="1"/>
  <c r="AP169" i="1"/>
  <c r="AM169" i="1"/>
  <c r="AA169" i="1"/>
  <c r="CY159" i="1"/>
  <c r="CE159" i="1"/>
  <c r="CB159" i="1"/>
  <c r="BY159" i="1"/>
  <c r="BV159" i="1"/>
  <c r="BQ159" i="1"/>
  <c r="BN159" i="1"/>
  <c r="BK159" i="1"/>
  <c r="BH159" i="1"/>
  <c r="BE159" i="1"/>
  <c r="BB159" i="1"/>
  <c r="AY159" i="1"/>
  <c r="AV159" i="1"/>
  <c r="AS159" i="1"/>
  <c r="AP159" i="1"/>
  <c r="AM159" i="1"/>
  <c r="V159" i="1"/>
  <c r="W159" i="1" s="1"/>
  <c r="CY158" i="1"/>
  <c r="CE158" i="1"/>
  <c r="CB158" i="1"/>
  <c r="BY158" i="1"/>
  <c r="BV158" i="1"/>
  <c r="BQ158" i="1"/>
  <c r="BN158" i="1"/>
  <c r="BK158" i="1"/>
  <c r="BH158" i="1"/>
  <c r="BE158" i="1"/>
  <c r="BB158" i="1"/>
  <c r="AY158" i="1"/>
  <c r="AV158" i="1"/>
  <c r="AS158" i="1"/>
  <c r="AP158" i="1"/>
  <c r="AM158" i="1"/>
  <c r="V158" i="1"/>
  <c r="W158" i="1" s="1"/>
  <c r="DR158" i="1"/>
  <c r="CY157" i="1"/>
  <c r="CE157" i="1"/>
  <c r="CB157" i="1"/>
  <c r="BY157" i="1"/>
  <c r="BV157" i="1"/>
  <c r="BQ157" i="1"/>
  <c r="BN157" i="1"/>
  <c r="BK157" i="1"/>
  <c r="BH157" i="1"/>
  <c r="BE157" i="1"/>
  <c r="BB157" i="1"/>
  <c r="AY157" i="1"/>
  <c r="AV157" i="1"/>
  <c r="AS157" i="1"/>
  <c r="AP157" i="1"/>
  <c r="AM157" i="1"/>
  <c r="V157" i="1"/>
  <c r="W157" i="1" s="1"/>
  <c r="DR157" i="1"/>
  <c r="CY156" i="1"/>
  <c r="CE156" i="1"/>
  <c r="CB156" i="1"/>
  <c r="BY156" i="1"/>
  <c r="BV156" i="1"/>
  <c r="BQ156" i="1"/>
  <c r="BN156" i="1"/>
  <c r="BK156" i="1"/>
  <c r="BH156" i="1"/>
  <c r="BE156" i="1"/>
  <c r="BB156" i="1"/>
  <c r="AY156" i="1"/>
  <c r="AV156" i="1"/>
  <c r="AS156" i="1"/>
  <c r="AP156" i="1"/>
  <c r="AM156" i="1"/>
  <c r="V156" i="1"/>
  <c r="W156" i="1" s="1"/>
  <c r="CY155" i="1"/>
  <c r="CE155" i="1"/>
  <c r="CB155" i="1"/>
  <c r="BY155" i="1"/>
  <c r="BV155" i="1"/>
  <c r="BQ155" i="1"/>
  <c r="BN155" i="1"/>
  <c r="BK155" i="1"/>
  <c r="BH155" i="1"/>
  <c r="BE155" i="1"/>
  <c r="BB155" i="1"/>
  <c r="AY155" i="1"/>
  <c r="AV155" i="1"/>
  <c r="AS155" i="1"/>
  <c r="AP155" i="1"/>
  <c r="AM155" i="1"/>
  <c r="V155" i="1"/>
  <c r="W155" i="1" s="1"/>
  <c r="CY154" i="1"/>
  <c r="CE154" i="1"/>
  <c r="CB154" i="1"/>
  <c r="BY154" i="1"/>
  <c r="BV154" i="1"/>
  <c r="BQ154" i="1"/>
  <c r="BN154" i="1"/>
  <c r="BK154" i="1"/>
  <c r="BH154" i="1"/>
  <c r="BE154" i="1"/>
  <c r="BB154" i="1"/>
  <c r="AY154" i="1"/>
  <c r="AV154" i="1"/>
  <c r="AS154" i="1"/>
  <c r="AP154" i="1"/>
  <c r="AM154" i="1"/>
  <c r="V154" i="1"/>
  <c r="W154" i="1" s="1"/>
  <c r="DR154" i="1"/>
  <c r="CY153" i="1"/>
  <c r="CE153" i="1"/>
  <c r="CB153" i="1"/>
  <c r="BY153" i="1"/>
  <c r="BV153" i="1"/>
  <c r="BQ153" i="1"/>
  <c r="BN153" i="1"/>
  <c r="BK153" i="1"/>
  <c r="BH153" i="1"/>
  <c r="BE153" i="1"/>
  <c r="BB153" i="1"/>
  <c r="AY153" i="1"/>
  <c r="AV153" i="1"/>
  <c r="AS153" i="1"/>
  <c r="AP153" i="1"/>
  <c r="AM153" i="1"/>
  <c r="V153" i="1"/>
  <c r="W153" i="1" s="1"/>
  <c r="DR153" i="1"/>
  <c r="CY152" i="1"/>
  <c r="CE152" i="1"/>
  <c r="CB152" i="1"/>
  <c r="BY152" i="1"/>
  <c r="BV152" i="1"/>
  <c r="BQ152" i="1"/>
  <c r="BN152" i="1"/>
  <c r="BK152" i="1"/>
  <c r="BH152" i="1"/>
  <c r="BE152" i="1"/>
  <c r="BB152" i="1"/>
  <c r="AY152" i="1"/>
  <c r="AV152" i="1"/>
  <c r="AS152" i="1"/>
  <c r="AP152" i="1"/>
  <c r="AM152" i="1"/>
  <c r="V152" i="1"/>
  <c r="W152" i="1" s="1"/>
  <c r="CY151" i="1"/>
  <c r="CE151" i="1"/>
  <c r="CB151" i="1"/>
  <c r="BY151" i="1"/>
  <c r="BV151" i="1"/>
  <c r="BQ151" i="1"/>
  <c r="BN151" i="1"/>
  <c r="BK151" i="1"/>
  <c r="BH151" i="1"/>
  <c r="BE151" i="1"/>
  <c r="BB151" i="1"/>
  <c r="AY151" i="1"/>
  <c r="AV151" i="1"/>
  <c r="AS151" i="1"/>
  <c r="AP151" i="1"/>
  <c r="AM151" i="1"/>
  <c r="V151" i="1"/>
  <c r="W151" i="1" s="1"/>
  <c r="CY150" i="1"/>
  <c r="CE150" i="1"/>
  <c r="CB150" i="1"/>
  <c r="BY150" i="1"/>
  <c r="BV150" i="1"/>
  <c r="BQ150" i="1"/>
  <c r="BN150" i="1"/>
  <c r="BK150" i="1"/>
  <c r="BH150" i="1"/>
  <c r="BE150" i="1"/>
  <c r="BB150" i="1"/>
  <c r="AY150" i="1"/>
  <c r="AV150" i="1"/>
  <c r="AS150" i="1"/>
  <c r="AP150" i="1"/>
  <c r="AM150" i="1"/>
  <c r="V150" i="1"/>
  <c r="W150" i="1" s="1"/>
  <c r="DR150" i="1"/>
  <c r="CY149" i="1"/>
  <c r="CE149" i="1"/>
  <c r="CB149" i="1"/>
  <c r="BY149" i="1"/>
  <c r="BV149" i="1"/>
  <c r="BQ149" i="1"/>
  <c r="BN149" i="1"/>
  <c r="BK149" i="1"/>
  <c r="BH149" i="1"/>
  <c r="BE149" i="1"/>
  <c r="BB149" i="1"/>
  <c r="AY149" i="1"/>
  <c r="AV149" i="1"/>
  <c r="AS149" i="1"/>
  <c r="AP149" i="1"/>
  <c r="AM149" i="1"/>
  <c r="AA149" i="1"/>
  <c r="DR149" i="1"/>
  <c r="CY148" i="1"/>
  <c r="CE148" i="1"/>
  <c r="CB148" i="1"/>
  <c r="BY148" i="1"/>
  <c r="BV148" i="1"/>
  <c r="BQ148" i="1"/>
  <c r="BN148" i="1"/>
  <c r="BK148" i="1"/>
  <c r="BH148" i="1"/>
  <c r="BE148" i="1"/>
  <c r="BB148" i="1"/>
  <c r="AY148" i="1"/>
  <c r="AV148" i="1"/>
  <c r="AS148" i="1"/>
  <c r="AP148" i="1"/>
  <c r="AM148" i="1"/>
  <c r="AA148" i="1"/>
  <c r="V148" i="1"/>
  <c r="W148" i="1" s="1"/>
  <c r="CY147" i="1"/>
  <c r="CE147" i="1"/>
  <c r="CB147" i="1"/>
  <c r="BY147" i="1"/>
  <c r="BV147" i="1"/>
  <c r="BQ147" i="1"/>
  <c r="BN147" i="1"/>
  <c r="BK147" i="1"/>
  <c r="BH147" i="1"/>
  <c r="BE147" i="1"/>
  <c r="BB147" i="1"/>
  <c r="AY147" i="1"/>
  <c r="AV147" i="1"/>
  <c r="AS147" i="1"/>
  <c r="AP147" i="1"/>
  <c r="AM147" i="1"/>
  <c r="V147" i="1"/>
  <c r="W147" i="1" s="1"/>
  <c r="DR147" i="1"/>
  <c r="CY146" i="1"/>
  <c r="BY146" i="1"/>
  <c r="BV146" i="1"/>
  <c r="BQ146" i="1"/>
  <c r="BN146" i="1"/>
  <c r="BK146" i="1"/>
  <c r="BH146" i="1"/>
  <c r="BE146" i="1"/>
  <c r="BB146" i="1"/>
  <c r="AY146" i="1"/>
  <c r="AV146" i="1"/>
  <c r="AS146" i="1"/>
  <c r="AP146" i="1"/>
  <c r="AM146" i="1"/>
  <c r="V146" i="1"/>
  <c r="W146" i="1" s="1"/>
  <c r="DR146" i="1"/>
  <c r="CY145" i="1"/>
  <c r="CE145" i="1"/>
  <c r="CB145" i="1"/>
  <c r="BY145" i="1"/>
  <c r="BV145" i="1"/>
  <c r="BQ145" i="1"/>
  <c r="BN145" i="1"/>
  <c r="BK145" i="1"/>
  <c r="BH145" i="1"/>
  <c r="BE145" i="1"/>
  <c r="BB145" i="1"/>
  <c r="AY145" i="1"/>
  <c r="AV145" i="1"/>
  <c r="AS145" i="1"/>
  <c r="AP145" i="1"/>
  <c r="AM145" i="1"/>
  <c r="AA145" i="1"/>
  <c r="V145" i="1"/>
  <c r="W145" i="1" s="1"/>
  <c r="CY144" i="1"/>
  <c r="CE144" i="1"/>
  <c r="CB144" i="1"/>
  <c r="BY144" i="1"/>
  <c r="BV144" i="1"/>
  <c r="BQ144" i="1"/>
  <c r="BN144" i="1"/>
  <c r="BK144" i="1"/>
  <c r="BH144" i="1"/>
  <c r="BE144" i="1"/>
  <c r="BB144" i="1"/>
  <c r="AY144" i="1"/>
  <c r="AV144" i="1"/>
  <c r="AS144" i="1"/>
  <c r="AP144" i="1"/>
  <c r="AM144" i="1"/>
  <c r="V144" i="1"/>
  <c r="W144" i="1" s="1"/>
  <c r="CY143" i="1"/>
  <c r="CE143" i="1"/>
  <c r="CB143" i="1"/>
  <c r="BY143" i="1"/>
  <c r="BV143" i="1"/>
  <c r="BQ143" i="1"/>
  <c r="BN143" i="1"/>
  <c r="BK143" i="1"/>
  <c r="BH143" i="1"/>
  <c r="BE143" i="1"/>
  <c r="BB143" i="1"/>
  <c r="AY143" i="1"/>
  <c r="AV143" i="1"/>
  <c r="AS143" i="1"/>
  <c r="AP143" i="1"/>
  <c r="AM143" i="1"/>
  <c r="V143" i="1"/>
  <c r="W143" i="1" s="1"/>
  <c r="DR143" i="1"/>
  <c r="CY142" i="1"/>
  <c r="CE142" i="1"/>
  <c r="CB142" i="1"/>
  <c r="BY142" i="1"/>
  <c r="BV142" i="1"/>
  <c r="BQ142" i="1"/>
  <c r="BN142" i="1"/>
  <c r="BK142" i="1"/>
  <c r="BH142" i="1"/>
  <c r="BE142" i="1"/>
  <c r="BB142" i="1"/>
  <c r="AY142" i="1"/>
  <c r="AV142" i="1"/>
  <c r="AS142" i="1"/>
  <c r="AP142" i="1"/>
  <c r="AM142" i="1"/>
  <c r="AA142" i="1"/>
  <c r="V142" i="1"/>
  <c r="W142" i="1" s="1"/>
  <c r="CY141" i="1"/>
  <c r="CE141" i="1"/>
  <c r="CB141" i="1"/>
  <c r="BY141" i="1"/>
  <c r="BV141" i="1"/>
  <c r="BQ141" i="1"/>
  <c r="BN141" i="1"/>
  <c r="BK141" i="1"/>
  <c r="BH141" i="1"/>
  <c r="BE141" i="1"/>
  <c r="BB141" i="1"/>
  <c r="AY141" i="1"/>
  <c r="AV141" i="1"/>
  <c r="AS141" i="1"/>
  <c r="AP141" i="1"/>
  <c r="AM141" i="1"/>
  <c r="AA141" i="1"/>
  <c r="V141" i="1"/>
  <c r="W141" i="1" s="1"/>
  <c r="CE140" i="1"/>
  <c r="CB140" i="1"/>
  <c r="BY140" i="1"/>
  <c r="BV140" i="1"/>
  <c r="BQ140" i="1"/>
  <c r="BN140" i="1"/>
  <c r="BK140" i="1"/>
  <c r="BH140" i="1"/>
  <c r="BE140" i="1"/>
  <c r="BB140" i="1"/>
  <c r="AY140" i="1"/>
  <c r="AV140" i="1"/>
  <c r="AS140" i="1"/>
  <c r="AN140" i="1"/>
  <c r="Q140" i="1" s="1"/>
  <c r="DR140" i="1" s="1"/>
  <c r="AM140" i="1"/>
  <c r="AA140" i="1"/>
  <c r="V140" i="1"/>
  <c r="CY139" i="1"/>
  <c r="CE139" i="1"/>
  <c r="CB139" i="1"/>
  <c r="BY139" i="1"/>
  <c r="BV139" i="1"/>
  <c r="BQ139" i="1"/>
  <c r="BN139" i="1"/>
  <c r="BK139" i="1"/>
  <c r="BH139" i="1"/>
  <c r="BE139" i="1"/>
  <c r="BB139" i="1"/>
  <c r="AY139" i="1"/>
  <c r="AV139" i="1"/>
  <c r="AS139" i="1"/>
  <c r="AP139" i="1"/>
  <c r="AM139" i="1"/>
  <c r="V139" i="1"/>
  <c r="W139" i="1" s="1"/>
  <c r="Q139" i="1"/>
  <c r="CY138" i="1"/>
  <c r="CE138" i="1"/>
  <c r="CB138" i="1"/>
  <c r="BY138" i="1"/>
  <c r="BV138" i="1"/>
  <c r="BQ138" i="1"/>
  <c r="BN138" i="1"/>
  <c r="BK138" i="1"/>
  <c r="BH138" i="1"/>
  <c r="BE138" i="1"/>
  <c r="BB138" i="1"/>
  <c r="AY138" i="1"/>
  <c r="AV138" i="1"/>
  <c r="AS138" i="1"/>
  <c r="AP138" i="1"/>
  <c r="AM138" i="1"/>
  <c r="AA138" i="1"/>
  <c r="V138" i="1"/>
  <c r="W138" i="1" s="1"/>
  <c r="Q138" i="1"/>
  <c r="CY137" i="1"/>
  <c r="CE137" i="1"/>
  <c r="CB137" i="1"/>
  <c r="BY137" i="1"/>
  <c r="BV137" i="1"/>
  <c r="BQ137" i="1"/>
  <c r="BN137" i="1"/>
  <c r="BK137" i="1"/>
  <c r="BH137" i="1"/>
  <c r="BE137" i="1"/>
  <c r="BB137" i="1"/>
  <c r="AY137" i="1"/>
  <c r="AV137" i="1"/>
  <c r="AS137" i="1"/>
  <c r="AP137" i="1"/>
  <c r="AM137" i="1"/>
  <c r="AA137" i="1"/>
  <c r="V137" i="1"/>
  <c r="W137" i="1" s="1"/>
  <c r="Q137" i="1"/>
  <c r="DR137" i="1" s="1"/>
  <c r="CE136" i="1"/>
  <c r="CB136" i="1"/>
  <c r="BY136" i="1"/>
  <c r="BV136" i="1"/>
  <c r="BQ136" i="1"/>
  <c r="BN136" i="1"/>
  <c r="BK136" i="1"/>
  <c r="BH136" i="1"/>
  <c r="BE136" i="1"/>
  <c r="BB136" i="1"/>
  <c r="AY136" i="1"/>
  <c r="AV136" i="1"/>
  <c r="AS136" i="1"/>
  <c r="AN136" i="1"/>
  <c r="Q136" i="1" s="1"/>
  <c r="DR136" i="1" s="1"/>
  <c r="AM136" i="1"/>
  <c r="V136" i="1"/>
  <c r="CY135" i="1"/>
  <c r="CE135" i="1"/>
  <c r="CB135" i="1"/>
  <c r="BY135" i="1"/>
  <c r="BV135" i="1"/>
  <c r="BQ135" i="1"/>
  <c r="BN135" i="1"/>
  <c r="BK135" i="1"/>
  <c r="BH135" i="1"/>
  <c r="BE135" i="1"/>
  <c r="BB135" i="1"/>
  <c r="AY135" i="1"/>
  <c r="AV135" i="1"/>
  <c r="AS135" i="1"/>
  <c r="AP135" i="1"/>
  <c r="AM135" i="1"/>
  <c r="V135" i="1"/>
  <c r="W135" i="1" s="1"/>
  <c r="Q135" i="1"/>
  <c r="CY134" i="1"/>
  <c r="CE134" i="1"/>
  <c r="CB134" i="1"/>
  <c r="BY134" i="1"/>
  <c r="BV134" i="1"/>
  <c r="BQ134" i="1"/>
  <c r="BN134" i="1"/>
  <c r="BK134" i="1"/>
  <c r="BH134" i="1"/>
  <c r="BE134" i="1"/>
  <c r="BB134" i="1"/>
  <c r="AY134" i="1"/>
  <c r="AV134" i="1"/>
  <c r="AS134" i="1"/>
  <c r="AP134" i="1"/>
  <c r="AM134" i="1"/>
  <c r="V134" i="1"/>
  <c r="W134" i="1" s="1"/>
  <c r="Q134" i="1"/>
  <c r="CY133" i="1"/>
  <c r="CE133" i="1"/>
  <c r="CB133" i="1"/>
  <c r="BY133" i="1"/>
  <c r="BV133" i="1"/>
  <c r="BQ133" i="1"/>
  <c r="BN133" i="1"/>
  <c r="BK133" i="1"/>
  <c r="BH133" i="1"/>
  <c r="BE133" i="1"/>
  <c r="BB133" i="1"/>
  <c r="AY133" i="1"/>
  <c r="AV133" i="1"/>
  <c r="AS133" i="1"/>
  <c r="AP133" i="1"/>
  <c r="AM133" i="1"/>
  <c r="AA133" i="1"/>
  <c r="V133" i="1"/>
  <c r="W133" i="1" s="1"/>
  <c r="Q133" i="1"/>
  <c r="DR133" i="1" s="1"/>
  <c r="CE130" i="1"/>
  <c r="CB130" i="1"/>
  <c r="BY130" i="1"/>
  <c r="BV130" i="1"/>
  <c r="BQ130" i="1"/>
  <c r="BN130" i="1"/>
  <c r="BK130" i="1"/>
  <c r="BH130" i="1"/>
  <c r="BE130" i="1"/>
  <c r="BB130" i="1"/>
  <c r="AY130" i="1"/>
  <c r="AV130" i="1"/>
  <c r="AS130" i="1"/>
  <c r="AN130" i="1"/>
  <c r="AM130" i="1"/>
  <c r="AA130" i="1"/>
  <c r="V130" i="1"/>
  <c r="CY129" i="1"/>
  <c r="CE129" i="1"/>
  <c r="CB129" i="1"/>
  <c r="BY129" i="1"/>
  <c r="BV129" i="1"/>
  <c r="BQ129" i="1"/>
  <c r="BN129" i="1"/>
  <c r="BK129" i="1"/>
  <c r="BH129" i="1"/>
  <c r="BE129" i="1"/>
  <c r="BB129" i="1"/>
  <c r="AY129" i="1"/>
  <c r="AV129" i="1"/>
  <c r="AS129" i="1"/>
  <c r="AP129" i="1"/>
  <c r="AM129" i="1"/>
  <c r="AA129" i="1"/>
  <c r="V129" i="1"/>
  <c r="W129" i="1" s="1"/>
  <c r="Q129" i="1"/>
  <c r="DR129" i="1" s="1"/>
  <c r="CY128" i="1"/>
  <c r="CE128" i="1"/>
  <c r="CB128" i="1"/>
  <c r="BY128" i="1"/>
  <c r="BV128" i="1"/>
  <c r="BQ128" i="1"/>
  <c r="BN128" i="1"/>
  <c r="BK128" i="1"/>
  <c r="BH128" i="1"/>
  <c r="BE128" i="1"/>
  <c r="BB128" i="1"/>
  <c r="AY128" i="1"/>
  <c r="AV128" i="1"/>
  <c r="AS128" i="1"/>
  <c r="AP128" i="1"/>
  <c r="AM128" i="1"/>
  <c r="AA128" i="1"/>
  <c r="V128" i="1"/>
  <c r="W128" i="1" s="1"/>
  <c r="Q128" i="1"/>
  <c r="DR128" i="1" s="1"/>
  <c r="CY127" i="1"/>
  <c r="CE127" i="1"/>
  <c r="CB127" i="1"/>
  <c r="BY127" i="1"/>
  <c r="BV127" i="1"/>
  <c r="BQ127" i="1"/>
  <c r="BN127" i="1"/>
  <c r="BK127" i="1"/>
  <c r="BH127" i="1"/>
  <c r="BE127" i="1"/>
  <c r="BB127" i="1"/>
  <c r="AY127" i="1"/>
  <c r="AV127" i="1"/>
  <c r="AS127" i="1"/>
  <c r="AP127" i="1"/>
  <c r="AM127" i="1"/>
  <c r="V127" i="1"/>
  <c r="W127" i="1" s="1"/>
  <c r="Q127" i="1"/>
  <c r="CY126" i="1"/>
  <c r="CE126" i="1"/>
  <c r="CB126" i="1"/>
  <c r="BY126" i="1"/>
  <c r="BV126" i="1"/>
  <c r="BQ126" i="1"/>
  <c r="BN126" i="1"/>
  <c r="BK126" i="1"/>
  <c r="BH126" i="1"/>
  <c r="BE126" i="1"/>
  <c r="BB126" i="1"/>
  <c r="AY126" i="1"/>
  <c r="AV126" i="1"/>
  <c r="AS126" i="1"/>
  <c r="AP126" i="1"/>
  <c r="AM126" i="1"/>
  <c r="AA126" i="1"/>
  <c r="V126" i="1"/>
  <c r="W126" i="1" s="1"/>
  <c r="Q126" i="1"/>
  <c r="CY125" i="1"/>
  <c r="CE125" i="1"/>
  <c r="CB125" i="1"/>
  <c r="BY125" i="1"/>
  <c r="BV125" i="1"/>
  <c r="BQ125" i="1"/>
  <c r="BN125" i="1"/>
  <c r="BK125" i="1"/>
  <c r="BH125" i="1"/>
  <c r="BE125" i="1"/>
  <c r="BB125" i="1"/>
  <c r="AY125" i="1"/>
  <c r="AV125" i="1"/>
  <c r="AS125" i="1"/>
  <c r="AP125" i="1"/>
  <c r="AM125" i="1"/>
  <c r="AA125" i="1"/>
  <c r="Q125" i="1"/>
  <c r="DR125" i="1" s="1"/>
  <c r="AB124" i="1"/>
  <c r="Z124" i="1"/>
  <c r="CY123" i="1"/>
  <c r="CE123" i="1"/>
  <c r="CB123" i="1"/>
  <c r="BY123" i="1"/>
  <c r="BV123" i="1"/>
  <c r="BQ123" i="1"/>
  <c r="BN123" i="1"/>
  <c r="BK123" i="1"/>
  <c r="BH123" i="1"/>
  <c r="BE123" i="1"/>
  <c r="BB123" i="1"/>
  <c r="AY123" i="1"/>
  <c r="AV123" i="1"/>
  <c r="AS123" i="1"/>
  <c r="AP123" i="1"/>
  <c r="AM123" i="1"/>
  <c r="AA123" i="1"/>
  <c r="V123" i="1"/>
  <c r="W123" i="1" s="1"/>
  <c r="Q123" i="1"/>
  <c r="CY118" i="1"/>
  <c r="CE118" i="1"/>
  <c r="CB118" i="1"/>
  <c r="BY118" i="1"/>
  <c r="BV118" i="1"/>
  <c r="BQ118" i="1"/>
  <c r="BN118" i="1"/>
  <c r="BK118" i="1"/>
  <c r="BH118" i="1"/>
  <c r="BE118" i="1"/>
  <c r="BB118" i="1"/>
  <c r="AY118" i="1"/>
  <c r="AV118" i="1"/>
  <c r="AS118" i="1"/>
  <c r="AP118" i="1"/>
  <c r="AM118" i="1"/>
  <c r="V118" i="1"/>
  <c r="W118" i="1" s="1"/>
  <c r="Q118" i="1"/>
  <c r="CY117" i="1"/>
  <c r="CE117" i="1"/>
  <c r="CB117" i="1"/>
  <c r="BY117" i="1"/>
  <c r="BV117" i="1"/>
  <c r="BQ117" i="1"/>
  <c r="BN117" i="1"/>
  <c r="BK117" i="1"/>
  <c r="BH117" i="1"/>
  <c r="BE117" i="1"/>
  <c r="BB117" i="1"/>
  <c r="AY117" i="1"/>
  <c r="AV117" i="1"/>
  <c r="AS117" i="1"/>
  <c r="AP117" i="1"/>
  <c r="AM117" i="1"/>
  <c r="AA117" i="1"/>
  <c r="Q117" i="1"/>
  <c r="CY116" i="1"/>
  <c r="CE116" i="1"/>
  <c r="CB116" i="1"/>
  <c r="BY116" i="1"/>
  <c r="BV116" i="1"/>
  <c r="BQ116" i="1"/>
  <c r="BN116" i="1"/>
  <c r="BK116" i="1"/>
  <c r="BH116" i="1"/>
  <c r="BE116" i="1"/>
  <c r="BB116" i="1"/>
  <c r="AY116" i="1"/>
  <c r="AV116" i="1"/>
  <c r="AS116" i="1"/>
  <c r="AP116" i="1"/>
  <c r="AM116" i="1"/>
  <c r="V116" i="1"/>
  <c r="W116" i="1" s="1"/>
  <c r="Q116" i="1"/>
  <c r="DR116" i="1" s="1"/>
  <c r="CY115" i="1"/>
  <c r="CE115" i="1"/>
  <c r="CB115" i="1"/>
  <c r="BY115" i="1"/>
  <c r="BV115" i="1"/>
  <c r="BQ115" i="1"/>
  <c r="BN115" i="1"/>
  <c r="BK115" i="1"/>
  <c r="BH115" i="1"/>
  <c r="BE115" i="1"/>
  <c r="BB115" i="1"/>
  <c r="AY115" i="1"/>
  <c r="AV115" i="1"/>
  <c r="AS115" i="1"/>
  <c r="AP115" i="1"/>
  <c r="AM115" i="1"/>
  <c r="V115" i="1"/>
  <c r="W115" i="1" s="1"/>
  <c r="Q115" i="1"/>
  <c r="CY114" i="1"/>
  <c r="CE114" i="1"/>
  <c r="CB114" i="1"/>
  <c r="BY114" i="1"/>
  <c r="BV114" i="1"/>
  <c r="BQ114" i="1"/>
  <c r="BN114" i="1"/>
  <c r="BK114" i="1"/>
  <c r="BH114" i="1"/>
  <c r="BE114" i="1"/>
  <c r="BB114" i="1"/>
  <c r="AY114" i="1"/>
  <c r="AV114" i="1"/>
  <c r="AS114" i="1"/>
  <c r="AP114" i="1"/>
  <c r="AM114" i="1"/>
  <c r="V114" i="1"/>
  <c r="W114" i="1" s="1"/>
  <c r="Q114" i="1"/>
  <c r="CY113" i="1"/>
  <c r="CE113" i="1"/>
  <c r="CB113" i="1"/>
  <c r="BY113" i="1"/>
  <c r="BV113" i="1"/>
  <c r="BQ113" i="1"/>
  <c r="BN113" i="1"/>
  <c r="BK113" i="1"/>
  <c r="BH113" i="1"/>
  <c r="BE113" i="1"/>
  <c r="BB113" i="1"/>
  <c r="AY113" i="1"/>
  <c r="AV113" i="1"/>
  <c r="AS113" i="1"/>
  <c r="AP113" i="1"/>
  <c r="AM113" i="1"/>
  <c r="V113" i="1"/>
  <c r="W113" i="1" s="1"/>
  <c r="Q113" i="1"/>
  <c r="DR113" i="1" s="1"/>
  <c r="CY112" i="1"/>
  <c r="CE112" i="1"/>
  <c r="CB112" i="1"/>
  <c r="BY112" i="1"/>
  <c r="BV112" i="1"/>
  <c r="BQ112" i="1"/>
  <c r="BN112" i="1"/>
  <c r="BK112" i="1"/>
  <c r="BH112" i="1"/>
  <c r="BE112" i="1"/>
  <c r="BB112" i="1"/>
  <c r="AY112" i="1"/>
  <c r="AV112" i="1"/>
  <c r="AS112" i="1"/>
  <c r="AP112" i="1"/>
  <c r="AM112" i="1"/>
  <c r="AA112" i="1"/>
  <c r="Q112" i="1"/>
  <c r="DR112" i="1" s="1"/>
  <c r="CY111" i="1"/>
  <c r="CE111" i="1"/>
  <c r="CB111" i="1"/>
  <c r="BY111" i="1"/>
  <c r="BV111" i="1"/>
  <c r="BQ111" i="1"/>
  <c r="BN111" i="1"/>
  <c r="BK111" i="1"/>
  <c r="BH111" i="1"/>
  <c r="BE111" i="1"/>
  <c r="BB111" i="1"/>
  <c r="AY111" i="1"/>
  <c r="AV111" i="1"/>
  <c r="AS111" i="1"/>
  <c r="AP111" i="1"/>
  <c r="AM111" i="1"/>
  <c r="AA111" i="1"/>
  <c r="V111" i="1"/>
  <c r="W111" i="1" s="1"/>
  <c r="Q111" i="1"/>
  <c r="CY110" i="1"/>
  <c r="CE110" i="1"/>
  <c r="CB110" i="1"/>
  <c r="BY110" i="1"/>
  <c r="BV110" i="1"/>
  <c r="BQ110" i="1"/>
  <c r="BN110" i="1"/>
  <c r="BK110" i="1"/>
  <c r="BH110" i="1"/>
  <c r="BE110" i="1"/>
  <c r="BB110" i="1"/>
  <c r="AY110" i="1"/>
  <c r="AV110" i="1"/>
  <c r="AS110" i="1"/>
  <c r="AP110" i="1"/>
  <c r="AM110" i="1"/>
  <c r="AA110" i="1"/>
  <c r="V110" i="1"/>
  <c r="W110" i="1" s="1"/>
  <c r="Q110" i="1"/>
  <c r="CY109" i="1"/>
  <c r="CE109" i="1"/>
  <c r="CB109" i="1"/>
  <c r="BY109" i="1"/>
  <c r="BV109" i="1"/>
  <c r="BQ109" i="1"/>
  <c r="BN109" i="1"/>
  <c r="BK109" i="1"/>
  <c r="BH109" i="1"/>
  <c r="BE109" i="1"/>
  <c r="BB109" i="1"/>
  <c r="AY109" i="1"/>
  <c r="AV109" i="1"/>
  <c r="AS109" i="1"/>
  <c r="AP109" i="1"/>
  <c r="AM109" i="1"/>
  <c r="V109" i="1"/>
  <c r="W109" i="1" s="1"/>
  <c r="Q109" i="1"/>
  <c r="DR109" i="1" s="1"/>
  <c r="CY108" i="1"/>
  <c r="CE108" i="1"/>
  <c r="CB108" i="1"/>
  <c r="BY108" i="1"/>
  <c r="BV108" i="1"/>
  <c r="BQ108" i="1"/>
  <c r="BN108" i="1"/>
  <c r="BK108" i="1"/>
  <c r="BH108" i="1"/>
  <c r="BE108" i="1"/>
  <c r="BB108" i="1"/>
  <c r="AY108" i="1"/>
  <c r="AV108" i="1"/>
  <c r="AS108" i="1"/>
  <c r="AP108" i="1"/>
  <c r="AM108" i="1"/>
  <c r="V108" i="1"/>
  <c r="W108" i="1" s="1"/>
  <c r="Q108" i="1"/>
  <c r="DR108" i="1" s="1"/>
  <c r="CY107" i="1"/>
  <c r="CE107" i="1"/>
  <c r="CB107" i="1"/>
  <c r="BY107" i="1"/>
  <c r="BV107" i="1"/>
  <c r="BQ107" i="1"/>
  <c r="BN107" i="1"/>
  <c r="BK107" i="1"/>
  <c r="BH107" i="1"/>
  <c r="BE107" i="1"/>
  <c r="BB107" i="1"/>
  <c r="AY107" i="1"/>
  <c r="AS107" i="1"/>
  <c r="AP107" i="1"/>
  <c r="AM107" i="1"/>
  <c r="AA107" i="1"/>
  <c r="Q107" i="1"/>
  <c r="CY106" i="1"/>
  <c r="CE106" i="1"/>
  <c r="CB106" i="1"/>
  <c r="BY106" i="1"/>
  <c r="BV106" i="1"/>
  <c r="BQ106" i="1"/>
  <c r="BN106" i="1"/>
  <c r="BK106" i="1"/>
  <c r="BH106" i="1"/>
  <c r="BE106" i="1"/>
  <c r="BB106" i="1"/>
  <c r="AY106" i="1"/>
  <c r="AV106" i="1"/>
  <c r="AS106" i="1"/>
  <c r="AP106" i="1"/>
  <c r="AM106" i="1"/>
  <c r="V106" i="1"/>
  <c r="W106" i="1" s="1"/>
  <c r="Q106" i="1"/>
  <c r="CY105" i="1"/>
  <c r="CE105" i="1"/>
  <c r="CB105" i="1"/>
  <c r="BY105" i="1"/>
  <c r="BV105" i="1"/>
  <c r="BQ105" i="1"/>
  <c r="BN105" i="1"/>
  <c r="BK105" i="1"/>
  <c r="BH105" i="1"/>
  <c r="BE105" i="1"/>
  <c r="BB105" i="1"/>
  <c r="AY105" i="1"/>
  <c r="AV105" i="1"/>
  <c r="AS105" i="1"/>
  <c r="AP105" i="1"/>
  <c r="AM105" i="1"/>
  <c r="AA105" i="1"/>
  <c r="V105" i="1"/>
  <c r="W105" i="1" s="1"/>
  <c r="Q105" i="1"/>
  <c r="DR105" i="1" s="1"/>
  <c r="CY104" i="1"/>
  <c r="CE104" i="1"/>
  <c r="CB104" i="1"/>
  <c r="BY104" i="1"/>
  <c r="BV104" i="1"/>
  <c r="BQ104" i="1"/>
  <c r="BN104" i="1"/>
  <c r="BK104" i="1"/>
  <c r="BH104" i="1"/>
  <c r="BE104" i="1"/>
  <c r="BB104" i="1"/>
  <c r="AY104" i="1"/>
  <c r="AV104" i="1"/>
  <c r="AS104" i="1"/>
  <c r="AP104" i="1"/>
  <c r="AM104" i="1"/>
  <c r="AA104" i="1"/>
  <c r="V104" i="1"/>
  <c r="W104" i="1" s="1"/>
  <c r="Q104" i="1"/>
  <c r="CY103" i="1"/>
  <c r="CE103" i="1"/>
  <c r="CB103" i="1"/>
  <c r="BY103" i="1"/>
  <c r="BV103" i="1"/>
  <c r="BQ103" i="1"/>
  <c r="BN103" i="1"/>
  <c r="BK103" i="1"/>
  <c r="BH103" i="1"/>
  <c r="BE103" i="1"/>
  <c r="BB103" i="1"/>
  <c r="AY103" i="1"/>
  <c r="AV103" i="1"/>
  <c r="AS103" i="1"/>
  <c r="AP103" i="1"/>
  <c r="AM103" i="1"/>
  <c r="V103" i="1"/>
  <c r="W103" i="1" s="1"/>
  <c r="Q103" i="1"/>
  <c r="CY102" i="1"/>
  <c r="CE102" i="1"/>
  <c r="CB102" i="1"/>
  <c r="BY102" i="1"/>
  <c r="BV102" i="1"/>
  <c r="BQ102" i="1"/>
  <c r="BN102" i="1"/>
  <c r="BK102" i="1"/>
  <c r="BH102" i="1"/>
  <c r="BE102" i="1"/>
  <c r="BB102" i="1"/>
  <c r="AY102" i="1"/>
  <c r="AV102" i="1"/>
  <c r="AS102" i="1"/>
  <c r="AP102" i="1"/>
  <c r="AM102" i="1"/>
  <c r="V102" i="1"/>
  <c r="W102" i="1" s="1"/>
  <c r="Q102" i="1"/>
  <c r="CY101" i="1"/>
  <c r="CE101" i="1"/>
  <c r="CB101" i="1"/>
  <c r="BY101" i="1"/>
  <c r="BV101" i="1"/>
  <c r="BQ101" i="1"/>
  <c r="BN101" i="1"/>
  <c r="BK101" i="1"/>
  <c r="BH101" i="1"/>
  <c r="BE101" i="1"/>
  <c r="BB101" i="1"/>
  <c r="AY101" i="1"/>
  <c r="AV101" i="1"/>
  <c r="AS101" i="1"/>
  <c r="AP101" i="1"/>
  <c r="AM101" i="1"/>
  <c r="V101" i="1"/>
  <c r="W101" i="1" s="1"/>
  <c r="Q101" i="1"/>
  <c r="DR101" i="1" s="1"/>
  <c r="CY100" i="1"/>
  <c r="BQ100" i="1"/>
  <c r="BN100" i="1"/>
  <c r="BK100" i="1"/>
  <c r="BH100" i="1"/>
  <c r="BE100" i="1"/>
  <c r="BB100" i="1"/>
  <c r="AY100" i="1"/>
  <c r="AV100" i="1"/>
  <c r="AS100" i="1"/>
  <c r="AP100" i="1"/>
  <c r="AM100" i="1"/>
  <c r="V100" i="1"/>
  <c r="W100" i="1" s="1"/>
  <c r="Q100" i="1"/>
  <c r="DR100" i="1" s="1"/>
  <c r="CY99" i="1"/>
  <c r="BQ99" i="1"/>
  <c r="BN99" i="1"/>
  <c r="BK99" i="1"/>
  <c r="BH99" i="1"/>
  <c r="BE99" i="1"/>
  <c r="BB99" i="1"/>
  <c r="AY99" i="1"/>
  <c r="AV99" i="1"/>
  <c r="AS99" i="1"/>
  <c r="AP99" i="1"/>
  <c r="AM99" i="1"/>
  <c r="V99" i="1"/>
  <c r="W99" i="1" s="1"/>
  <c r="Q99" i="1"/>
  <c r="CY98" i="1"/>
  <c r="CE98" i="1"/>
  <c r="CB98" i="1"/>
  <c r="BY98" i="1"/>
  <c r="BV98" i="1"/>
  <c r="BQ98" i="1"/>
  <c r="BN98" i="1"/>
  <c r="BK98" i="1"/>
  <c r="BH98" i="1"/>
  <c r="BE98" i="1"/>
  <c r="BB98" i="1"/>
  <c r="AY98" i="1"/>
  <c r="AV98" i="1"/>
  <c r="AS98" i="1"/>
  <c r="AP98" i="1"/>
  <c r="AM98" i="1"/>
  <c r="V98" i="1"/>
  <c r="W98" i="1" s="1"/>
  <c r="Q98" i="1"/>
  <c r="CY97" i="1"/>
  <c r="CE97" i="1"/>
  <c r="CB97" i="1"/>
  <c r="BY97" i="1"/>
  <c r="BV97" i="1"/>
  <c r="BQ97" i="1"/>
  <c r="BN97" i="1"/>
  <c r="BK97" i="1"/>
  <c r="BH97" i="1"/>
  <c r="BE97" i="1"/>
  <c r="BB97" i="1"/>
  <c r="AY97" i="1"/>
  <c r="AV97" i="1"/>
  <c r="AS97" i="1"/>
  <c r="AP97" i="1"/>
  <c r="AM97" i="1"/>
  <c r="V97" i="1"/>
  <c r="W97" i="1" s="1"/>
  <c r="Q97" i="1"/>
  <c r="DR97" i="1" s="1"/>
  <c r="CY96" i="1"/>
  <c r="CE96" i="1"/>
  <c r="CB96" i="1"/>
  <c r="BY96" i="1"/>
  <c r="BV96" i="1"/>
  <c r="BQ96" i="1"/>
  <c r="BN96" i="1"/>
  <c r="BK96" i="1"/>
  <c r="BH96" i="1"/>
  <c r="BE96" i="1"/>
  <c r="BB96" i="1"/>
  <c r="AY96" i="1"/>
  <c r="AV96" i="1"/>
  <c r="AS96" i="1"/>
  <c r="AP96" i="1"/>
  <c r="AM96" i="1"/>
  <c r="AA96" i="1"/>
  <c r="V96" i="1"/>
  <c r="W96" i="1" s="1"/>
  <c r="Q96" i="1"/>
  <c r="DR96" i="1" s="1"/>
  <c r="CY95" i="1"/>
  <c r="CE95" i="1"/>
  <c r="CB95" i="1"/>
  <c r="BY95" i="1"/>
  <c r="BV95" i="1"/>
  <c r="BQ95" i="1"/>
  <c r="BN95" i="1"/>
  <c r="BK95" i="1"/>
  <c r="BH95" i="1"/>
  <c r="BE95" i="1"/>
  <c r="BB95" i="1"/>
  <c r="AY95" i="1"/>
  <c r="AV95" i="1"/>
  <c r="AS95" i="1"/>
  <c r="AP95" i="1"/>
  <c r="AM95" i="1"/>
  <c r="V95" i="1"/>
  <c r="W95" i="1" s="1"/>
  <c r="Q95" i="1"/>
  <c r="CY94" i="1"/>
  <c r="CE94" i="1"/>
  <c r="CB94" i="1"/>
  <c r="BY94" i="1"/>
  <c r="BV94" i="1"/>
  <c r="BQ94" i="1"/>
  <c r="BN94" i="1"/>
  <c r="BK94" i="1"/>
  <c r="BH94" i="1"/>
  <c r="BE94" i="1"/>
  <c r="BB94" i="1"/>
  <c r="AY94" i="1"/>
  <c r="AV94" i="1"/>
  <c r="AS94" i="1"/>
  <c r="AP94" i="1"/>
  <c r="AM94" i="1"/>
  <c r="V94" i="1"/>
  <c r="W94" i="1" s="1"/>
  <c r="Q94" i="1"/>
  <c r="CY93" i="1"/>
  <c r="CE93" i="1"/>
  <c r="CB93" i="1"/>
  <c r="BY93" i="1"/>
  <c r="BV93" i="1"/>
  <c r="BQ93" i="1"/>
  <c r="BN93" i="1"/>
  <c r="BK93" i="1"/>
  <c r="BH93" i="1"/>
  <c r="BE93" i="1"/>
  <c r="BB93" i="1"/>
  <c r="AY93" i="1"/>
  <c r="AV93" i="1"/>
  <c r="AS93" i="1"/>
  <c r="AP93" i="1"/>
  <c r="AM93" i="1"/>
  <c r="V93" i="1"/>
  <c r="W93" i="1" s="1"/>
  <c r="Q93" i="1"/>
  <c r="DR93" i="1" s="1"/>
  <c r="CY92" i="1"/>
  <c r="CE92" i="1"/>
  <c r="CB92" i="1"/>
  <c r="BY92" i="1"/>
  <c r="BV92" i="1"/>
  <c r="BQ92" i="1"/>
  <c r="BN92" i="1"/>
  <c r="BK92" i="1"/>
  <c r="BH92" i="1"/>
  <c r="BE92" i="1"/>
  <c r="BB92" i="1"/>
  <c r="AY92" i="1"/>
  <c r="AV92" i="1"/>
  <c r="AS92" i="1"/>
  <c r="AP92" i="1"/>
  <c r="AM92" i="1"/>
  <c r="V92" i="1"/>
  <c r="W92" i="1" s="1"/>
  <c r="Q92" i="1"/>
  <c r="DR92" i="1" s="1"/>
  <c r="CE91" i="1"/>
  <c r="CB91" i="1"/>
  <c r="BY91" i="1"/>
  <c r="BV91" i="1"/>
  <c r="BQ91" i="1"/>
  <c r="BN91" i="1"/>
  <c r="BK91" i="1"/>
  <c r="BH91" i="1"/>
  <c r="BE91" i="1"/>
  <c r="BB91" i="1"/>
  <c r="AY91" i="1"/>
  <c r="AV91" i="1"/>
  <c r="AS91" i="1"/>
  <c r="AP91" i="1"/>
  <c r="AM91" i="1"/>
  <c r="AA91" i="1"/>
  <c r="V91" i="1"/>
  <c r="W91" i="1" s="1"/>
  <c r="Q91" i="1"/>
  <c r="CY90" i="1"/>
  <c r="CE90" i="1"/>
  <c r="CB90" i="1"/>
  <c r="BY90" i="1"/>
  <c r="BV90" i="1"/>
  <c r="BQ90" i="1"/>
  <c r="BN90" i="1"/>
  <c r="BK90" i="1"/>
  <c r="BH90" i="1"/>
  <c r="BE90" i="1"/>
  <c r="BB90" i="1"/>
  <c r="AY90" i="1"/>
  <c r="AV90" i="1"/>
  <c r="AS90" i="1"/>
  <c r="AP90" i="1"/>
  <c r="AM90" i="1"/>
  <c r="AA90" i="1"/>
  <c r="V90" i="1"/>
  <c r="W90" i="1" s="1"/>
  <c r="Q90" i="1"/>
  <c r="CY86" i="1"/>
  <c r="CE86" i="1"/>
  <c r="CB86" i="1"/>
  <c r="BY86" i="1"/>
  <c r="BV86" i="1"/>
  <c r="BQ86" i="1"/>
  <c r="BN86" i="1"/>
  <c r="BK86" i="1"/>
  <c r="BH86" i="1"/>
  <c r="BE86" i="1"/>
  <c r="BB86" i="1"/>
  <c r="AY86" i="1"/>
  <c r="AV86" i="1"/>
  <c r="AS86" i="1"/>
  <c r="AP86" i="1"/>
  <c r="AM86" i="1"/>
  <c r="AA86" i="1"/>
  <c r="V86" i="1"/>
  <c r="W86" i="1" s="1"/>
  <c r="Q86" i="1"/>
  <c r="DR86" i="1" s="1"/>
  <c r="CY85" i="1"/>
  <c r="CE85" i="1"/>
  <c r="CB85" i="1"/>
  <c r="BY85" i="1"/>
  <c r="BV85" i="1"/>
  <c r="BQ85" i="1"/>
  <c r="BN85" i="1"/>
  <c r="BK85" i="1"/>
  <c r="BH85" i="1"/>
  <c r="BE85" i="1"/>
  <c r="BB85" i="1"/>
  <c r="AY85" i="1"/>
  <c r="AV85" i="1"/>
  <c r="AS85" i="1"/>
  <c r="AP85" i="1"/>
  <c r="AM85" i="1"/>
  <c r="AA85" i="1"/>
  <c r="Q85" i="1"/>
  <c r="CY84" i="1"/>
  <c r="DC84" i="1" s="1"/>
  <c r="CE84" i="1"/>
  <c r="CB84" i="1"/>
  <c r="BY84" i="1"/>
  <c r="BV84" i="1"/>
  <c r="BQ84" i="1"/>
  <c r="BN84" i="1"/>
  <c r="BK84" i="1"/>
  <c r="BH84" i="1"/>
  <c r="BE84" i="1"/>
  <c r="BB84" i="1"/>
  <c r="AY84" i="1"/>
  <c r="AV84" i="1"/>
  <c r="AS84" i="1"/>
  <c r="AP84" i="1"/>
  <c r="AM84" i="1"/>
  <c r="V84" i="1"/>
  <c r="W84" i="1" s="1"/>
  <c r="Q84" i="1"/>
  <c r="CY83" i="1"/>
  <c r="CE83" i="1"/>
  <c r="CB83" i="1"/>
  <c r="BY83" i="1"/>
  <c r="BV83" i="1"/>
  <c r="BQ83" i="1"/>
  <c r="BN83" i="1"/>
  <c r="BK83" i="1"/>
  <c r="BH83" i="1"/>
  <c r="BE83" i="1"/>
  <c r="BB83" i="1"/>
  <c r="AY83" i="1"/>
  <c r="AV83" i="1"/>
  <c r="AS83" i="1"/>
  <c r="AP83" i="1"/>
  <c r="AM83" i="1"/>
  <c r="AA83" i="1"/>
  <c r="Q83" i="1"/>
  <c r="CY82" i="1"/>
  <c r="CE82" i="1"/>
  <c r="CB82" i="1"/>
  <c r="BY82" i="1"/>
  <c r="BV82" i="1"/>
  <c r="BQ82" i="1"/>
  <c r="BN82" i="1"/>
  <c r="BK82" i="1"/>
  <c r="BH82" i="1"/>
  <c r="BE82" i="1"/>
  <c r="BB82" i="1"/>
  <c r="AY82" i="1"/>
  <c r="AV82" i="1"/>
  <c r="AS82" i="1"/>
  <c r="AP82" i="1"/>
  <c r="AM82" i="1"/>
  <c r="AA82" i="1"/>
  <c r="Q82" i="1"/>
  <c r="CY81" i="1"/>
  <c r="CE81" i="1"/>
  <c r="CB81" i="1"/>
  <c r="BY81" i="1"/>
  <c r="BV81" i="1"/>
  <c r="BQ81" i="1"/>
  <c r="BN81" i="1"/>
  <c r="BK81" i="1"/>
  <c r="BH81" i="1"/>
  <c r="BE81" i="1"/>
  <c r="BB81" i="1"/>
  <c r="AY81" i="1"/>
  <c r="AV81" i="1"/>
  <c r="AS81" i="1"/>
  <c r="AP81" i="1"/>
  <c r="AM81" i="1"/>
  <c r="AA81" i="1"/>
  <c r="V81" i="1"/>
  <c r="W81" i="1" s="1"/>
  <c r="Q81" i="1"/>
  <c r="DR81" i="1" s="1"/>
  <c r="CY80" i="1"/>
  <c r="CE80" i="1"/>
  <c r="CB80" i="1"/>
  <c r="BY80" i="1"/>
  <c r="BV80" i="1"/>
  <c r="BQ80" i="1"/>
  <c r="BN80" i="1"/>
  <c r="BK80" i="1"/>
  <c r="BH80" i="1"/>
  <c r="BE80" i="1"/>
  <c r="BB80" i="1"/>
  <c r="AY80" i="1"/>
  <c r="AV80" i="1"/>
  <c r="AS80" i="1"/>
  <c r="AP80" i="1"/>
  <c r="AM80" i="1"/>
  <c r="AA80" i="1"/>
  <c r="V80" i="1"/>
  <c r="W80" i="1" s="1"/>
  <c r="Q80" i="1"/>
  <c r="CY79" i="1"/>
  <c r="CE79" i="1"/>
  <c r="CB79" i="1"/>
  <c r="BY79" i="1"/>
  <c r="BV79" i="1"/>
  <c r="BQ79" i="1"/>
  <c r="BN79" i="1"/>
  <c r="BK79" i="1"/>
  <c r="BH79" i="1"/>
  <c r="BE79" i="1"/>
  <c r="BB79" i="1"/>
  <c r="AY79" i="1"/>
  <c r="AV79" i="1"/>
  <c r="AS79" i="1"/>
  <c r="AP79" i="1"/>
  <c r="AM79" i="1"/>
  <c r="AA79" i="1"/>
  <c r="V79" i="1"/>
  <c r="W79" i="1" s="1"/>
  <c r="Q79" i="1"/>
  <c r="CY78" i="1"/>
  <c r="CE78" i="1"/>
  <c r="CB78" i="1"/>
  <c r="BY78" i="1"/>
  <c r="BV78" i="1"/>
  <c r="BQ78" i="1"/>
  <c r="BN78" i="1"/>
  <c r="BK78" i="1"/>
  <c r="BH78" i="1"/>
  <c r="BE78" i="1"/>
  <c r="BB78" i="1"/>
  <c r="AY78" i="1"/>
  <c r="AV78" i="1"/>
  <c r="AS78" i="1"/>
  <c r="AP78" i="1"/>
  <c r="AM78" i="1"/>
  <c r="AA78" i="1"/>
  <c r="V78" i="1"/>
  <c r="W78" i="1" s="1"/>
  <c r="Q78" i="1"/>
  <c r="DR78" i="1" s="1"/>
  <c r="CY77" i="1"/>
  <c r="CE77" i="1"/>
  <c r="CB77" i="1"/>
  <c r="BY77" i="1"/>
  <c r="BV77" i="1"/>
  <c r="BQ77" i="1"/>
  <c r="BN77" i="1"/>
  <c r="BK77" i="1"/>
  <c r="BH77" i="1"/>
  <c r="BE77" i="1"/>
  <c r="BB77" i="1"/>
  <c r="AY77" i="1"/>
  <c r="AV77" i="1"/>
  <c r="AS77" i="1"/>
  <c r="AP77" i="1"/>
  <c r="AM77" i="1"/>
  <c r="AA77" i="1"/>
  <c r="Q77" i="1"/>
  <c r="DR77" i="1" s="1"/>
  <c r="CY69" i="1"/>
  <c r="CE69" i="1"/>
  <c r="CB69" i="1"/>
  <c r="BY69" i="1"/>
  <c r="BV69" i="1"/>
  <c r="BQ69" i="1"/>
  <c r="BN69" i="1"/>
  <c r="BK69" i="1"/>
  <c r="BH69" i="1"/>
  <c r="BE69" i="1"/>
  <c r="BB69" i="1"/>
  <c r="AY69" i="1"/>
  <c r="AV69" i="1"/>
  <c r="AS69" i="1"/>
  <c r="AP69" i="1"/>
  <c r="AM69" i="1"/>
  <c r="AA69" i="1"/>
  <c r="Q69" i="1"/>
  <c r="CY65" i="1"/>
  <c r="CE65" i="1"/>
  <c r="CB65" i="1"/>
  <c r="BY65" i="1"/>
  <c r="BV65" i="1"/>
  <c r="BQ65" i="1"/>
  <c r="BN65" i="1"/>
  <c r="BK65" i="1"/>
  <c r="BH65" i="1"/>
  <c r="BE65" i="1"/>
  <c r="BB65" i="1"/>
  <c r="AY65" i="1"/>
  <c r="AV65" i="1"/>
  <c r="AS65" i="1"/>
  <c r="AP65" i="1"/>
  <c r="AM65" i="1"/>
  <c r="V65" i="1"/>
  <c r="W65" i="1" s="1"/>
  <c r="Q65" i="1"/>
  <c r="DR65" i="1" s="1"/>
  <c r="CY64" i="1"/>
  <c r="CE64" i="1"/>
  <c r="CB64" i="1"/>
  <c r="BY64" i="1"/>
  <c r="BV64" i="1"/>
  <c r="BQ64" i="1"/>
  <c r="BN64" i="1"/>
  <c r="BK64" i="1"/>
  <c r="BH64" i="1"/>
  <c r="BE64" i="1"/>
  <c r="BB64" i="1"/>
  <c r="AY64" i="1"/>
  <c r="AV64" i="1"/>
  <c r="AS64" i="1"/>
  <c r="AP64" i="1"/>
  <c r="AM64" i="1"/>
  <c r="V64" i="1"/>
  <c r="W64" i="1" s="1"/>
  <c r="Q64" i="1"/>
  <c r="CY63" i="1"/>
  <c r="CE63" i="1"/>
  <c r="CB63" i="1"/>
  <c r="BY63" i="1"/>
  <c r="BV63" i="1"/>
  <c r="BQ63" i="1"/>
  <c r="BN63" i="1"/>
  <c r="BK63" i="1"/>
  <c r="BH63" i="1"/>
  <c r="BE63" i="1"/>
  <c r="BB63" i="1"/>
  <c r="AY63" i="1"/>
  <c r="AV63" i="1"/>
  <c r="AS63" i="1"/>
  <c r="AP63" i="1"/>
  <c r="AM63" i="1"/>
  <c r="V63" i="1"/>
  <c r="W63" i="1" s="1"/>
  <c r="Q63" i="1"/>
  <c r="CY62" i="1"/>
  <c r="CE62" i="1"/>
  <c r="CB62" i="1"/>
  <c r="BY62" i="1"/>
  <c r="BV62" i="1"/>
  <c r="BQ62" i="1"/>
  <c r="BN62" i="1"/>
  <c r="BK62" i="1"/>
  <c r="BH62" i="1"/>
  <c r="BE62" i="1"/>
  <c r="BB62" i="1"/>
  <c r="AY62" i="1"/>
  <c r="AV62" i="1"/>
  <c r="AS62" i="1"/>
  <c r="AP62" i="1"/>
  <c r="AM62" i="1"/>
  <c r="AA62" i="1"/>
  <c r="V62" i="1"/>
  <c r="W62" i="1" s="1"/>
  <c r="Q62" i="1"/>
  <c r="DR62" i="1" s="1"/>
  <c r="CY61" i="1"/>
  <c r="CE61" i="1"/>
  <c r="CB61" i="1"/>
  <c r="BY61" i="1"/>
  <c r="BV61" i="1"/>
  <c r="BQ61" i="1"/>
  <c r="BN61" i="1"/>
  <c r="BK61" i="1"/>
  <c r="BH61" i="1"/>
  <c r="BE61" i="1"/>
  <c r="BB61" i="1"/>
  <c r="AY61" i="1"/>
  <c r="AV61" i="1"/>
  <c r="AS61" i="1"/>
  <c r="AP61" i="1"/>
  <c r="AM61" i="1"/>
  <c r="V61" i="1"/>
  <c r="W61" i="1" s="1"/>
  <c r="Q61" i="1"/>
  <c r="CY60" i="1"/>
  <c r="CE60" i="1"/>
  <c r="CB60" i="1"/>
  <c r="BY60" i="1"/>
  <c r="BV60" i="1"/>
  <c r="BQ60" i="1"/>
  <c r="BN60" i="1"/>
  <c r="BK60" i="1"/>
  <c r="BH60" i="1"/>
  <c r="BE60" i="1"/>
  <c r="BB60" i="1"/>
  <c r="AY60" i="1"/>
  <c r="AV60" i="1"/>
  <c r="AS60" i="1"/>
  <c r="AP60" i="1"/>
  <c r="AM60" i="1"/>
  <c r="V60" i="1"/>
  <c r="W60" i="1" s="1"/>
  <c r="Q60" i="1"/>
  <c r="CY59" i="1"/>
  <c r="CE59" i="1"/>
  <c r="CB59" i="1"/>
  <c r="BY59" i="1"/>
  <c r="BV59" i="1"/>
  <c r="BQ59" i="1"/>
  <c r="BN59" i="1"/>
  <c r="BK59" i="1"/>
  <c r="BH59" i="1"/>
  <c r="BE59" i="1"/>
  <c r="BB59" i="1"/>
  <c r="AY59" i="1"/>
  <c r="AV59" i="1"/>
  <c r="AS59" i="1"/>
  <c r="AP59" i="1"/>
  <c r="AM59" i="1"/>
  <c r="AA59" i="1"/>
  <c r="V59" i="1"/>
  <c r="W59" i="1" s="1"/>
  <c r="Q59" i="1"/>
  <c r="CY58" i="1"/>
  <c r="CE58" i="1"/>
  <c r="CB58" i="1"/>
  <c r="BY58" i="1"/>
  <c r="BV58" i="1"/>
  <c r="BQ58" i="1"/>
  <c r="BN58" i="1"/>
  <c r="BK58" i="1"/>
  <c r="BH58" i="1"/>
  <c r="BE58" i="1"/>
  <c r="BB58" i="1"/>
  <c r="AY58" i="1"/>
  <c r="AV58" i="1"/>
  <c r="AS58" i="1"/>
  <c r="AP58" i="1"/>
  <c r="AM58" i="1"/>
  <c r="V58" i="1"/>
  <c r="W58" i="1" s="1"/>
  <c r="Q58" i="1"/>
  <c r="DR58" i="1" s="1"/>
  <c r="CY57" i="1"/>
  <c r="CE57" i="1"/>
  <c r="CB57" i="1"/>
  <c r="BY57" i="1"/>
  <c r="BV57" i="1"/>
  <c r="BQ57" i="1"/>
  <c r="BN57" i="1"/>
  <c r="BK57" i="1"/>
  <c r="BH57" i="1"/>
  <c r="BE57" i="1"/>
  <c r="BB57" i="1"/>
  <c r="AY57" i="1"/>
  <c r="AV57" i="1"/>
  <c r="AS57" i="1"/>
  <c r="AP57" i="1"/>
  <c r="AM57" i="1"/>
  <c r="AA57" i="1"/>
  <c r="V57" i="1"/>
  <c r="W57" i="1" s="1"/>
  <c r="Q57" i="1"/>
  <c r="DR57" i="1" s="1"/>
  <c r="CY56" i="1"/>
  <c r="CE56" i="1"/>
  <c r="CB56" i="1"/>
  <c r="BY56" i="1"/>
  <c r="BV56" i="1"/>
  <c r="BQ56" i="1"/>
  <c r="BN56" i="1"/>
  <c r="BK56" i="1"/>
  <c r="BH56" i="1"/>
  <c r="BE56" i="1"/>
  <c r="BB56" i="1"/>
  <c r="AY56" i="1"/>
  <c r="AV56" i="1"/>
  <c r="AS56" i="1"/>
  <c r="AP56" i="1"/>
  <c r="AM56" i="1"/>
  <c r="V56" i="1"/>
  <c r="W56" i="1" s="1"/>
  <c r="Q56" i="1"/>
  <c r="CY55" i="1"/>
  <c r="CE55" i="1"/>
  <c r="CB55" i="1"/>
  <c r="BY55" i="1"/>
  <c r="BV55" i="1"/>
  <c r="BQ55" i="1"/>
  <c r="BN55" i="1"/>
  <c r="BK55" i="1"/>
  <c r="BH55" i="1"/>
  <c r="BE55" i="1"/>
  <c r="BB55" i="1"/>
  <c r="AY55" i="1"/>
  <c r="AV55" i="1"/>
  <c r="AS55" i="1"/>
  <c r="AP55" i="1"/>
  <c r="AM55" i="1"/>
  <c r="V55" i="1"/>
  <c r="W55" i="1" s="1"/>
  <c r="Q55" i="1"/>
  <c r="CY54" i="1"/>
  <c r="CE54" i="1"/>
  <c r="CB54" i="1"/>
  <c r="BY54" i="1"/>
  <c r="BV54" i="1"/>
  <c r="BQ54" i="1"/>
  <c r="BN54" i="1"/>
  <c r="BK54" i="1"/>
  <c r="BH54" i="1"/>
  <c r="BE54" i="1"/>
  <c r="BB54" i="1"/>
  <c r="AY54" i="1"/>
  <c r="AV54" i="1"/>
  <c r="AS54" i="1"/>
  <c r="AP54" i="1"/>
  <c r="AM54" i="1"/>
  <c r="V54" i="1"/>
  <c r="W54" i="1" s="1"/>
  <c r="Q54" i="1"/>
  <c r="DR54" i="1" s="1"/>
  <c r="CY53" i="1"/>
  <c r="CE53" i="1"/>
  <c r="CB53" i="1"/>
  <c r="BY53" i="1"/>
  <c r="BV53" i="1"/>
  <c r="BQ53" i="1"/>
  <c r="BN53" i="1"/>
  <c r="BK53" i="1"/>
  <c r="BH53" i="1"/>
  <c r="BE53" i="1"/>
  <c r="BB53" i="1"/>
  <c r="AY53" i="1"/>
  <c r="AV53" i="1"/>
  <c r="AS53" i="1"/>
  <c r="AP53" i="1"/>
  <c r="AM53" i="1"/>
  <c r="V53" i="1"/>
  <c r="W53" i="1" s="1"/>
  <c r="Q53" i="1"/>
  <c r="DR53" i="1" s="1"/>
  <c r="CY52" i="1"/>
  <c r="CE52" i="1"/>
  <c r="CB52" i="1"/>
  <c r="BY52" i="1"/>
  <c r="BV52" i="1"/>
  <c r="BQ52" i="1"/>
  <c r="BN52" i="1"/>
  <c r="BK52" i="1"/>
  <c r="BH52" i="1"/>
  <c r="BE52" i="1"/>
  <c r="BB52" i="1"/>
  <c r="AY52" i="1"/>
  <c r="AV52" i="1"/>
  <c r="AS52" i="1"/>
  <c r="AP52" i="1"/>
  <c r="AM52" i="1"/>
  <c r="V52" i="1"/>
  <c r="W52" i="1" s="1"/>
  <c r="Q52" i="1"/>
  <c r="CY51" i="1"/>
  <c r="CE51" i="1"/>
  <c r="CB51" i="1"/>
  <c r="BY51" i="1"/>
  <c r="BV51" i="1"/>
  <c r="BQ51" i="1"/>
  <c r="BN51" i="1"/>
  <c r="BK51" i="1"/>
  <c r="BH51" i="1"/>
  <c r="BE51" i="1"/>
  <c r="BB51" i="1"/>
  <c r="AY51" i="1"/>
  <c r="AV51" i="1"/>
  <c r="AS51" i="1"/>
  <c r="AP51" i="1"/>
  <c r="AM51" i="1"/>
  <c r="AA51" i="1"/>
  <c r="V51" i="1"/>
  <c r="W51" i="1" s="1"/>
  <c r="Q51" i="1"/>
  <c r="CY50" i="1"/>
  <c r="CE50" i="1"/>
  <c r="CB50" i="1"/>
  <c r="BY50" i="1"/>
  <c r="BV50" i="1"/>
  <c r="BQ50" i="1"/>
  <c r="BN50" i="1"/>
  <c r="BK50" i="1"/>
  <c r="BH50" i="1"/>
  <c r="BE50" i="1"/>
  <c r="BB50" i="1"/>
  <c r="AY50" i="1"/>
  <c r="AV50" i="1"/>
  <c r="AS50" i="1"/>
  <c r="AP50" i="1"/>
  <c r="AM50" i="1"/>
  <c r="AA50" i="1"/>
  <c r="V50" i="1"/>
  <c r="W50" i="1" s="1"/>
  <c r="Q50" i="1"/>
  <c r="DR50" i="1" s="1"/>
  <c r="CY49" i="1"/>
  <c r="CE49" i="1"/>
  <c r="CB49" i="1"/>
  <c r="BY49" i="1"/>
  <c r="BV49" i="1"/>
  <c r="BQ49" i="1"/>
  <c r="BN49" i="1"/>
  <c r="BK49" i="1"/>
  <c r="BH49" i="1"/>
  <c r="BE49" i="1"/>
  <c r="BB49" i="1"/>
  <c r="AY49" i="1"/>
  <c r="AV49" i="1"/>
  <c r="AS49" i="1"/>
  <c r="AP49" i="1"/>
  <c r="AM49" i="1"/>
  <c r="V49" i="1"/>
  <c r="W49" i="1" s="1"/>
  <c r="Q49" i="1"/>
  <c r="DR49" i="1" s="1"/>
  <c r="CY48" i="1"/>
  <c r="R48" i="1"/>
  <c r="AA48" i="1" s="1"/>
  <c r="AB48" i="1" s="1"/>
  <c r="BQ48" i="1"/>
  <c r="BN48" i="1"/>
  <c r="BK48" i="1"/>
  <c r="BH48" i="1"/>
  <c r="BE48" i="1"/>
  <c r="BB48" i="1"/>
  <c r="AY48" i="1"/>
  <c r="AV48" i="1"/>
  <c r="AS48" i="1"/>
  <c r="AP48" i="1"/>
  <c r="V48" i="1"/>
  <c r="W48" i="1" s="1"/>
  <c r="Q48" i="1"/>
  <c r="CY47" i="1"/>
  <c r="CE47" i="1"/>
  <c r="CB47" i="1"/>
  <c r="BY47" i="1"/>
  <c r="BV47" i="1"/>
  <c r="BQ47" i="1"/>
  <c r="BN47" i="1"/>
  <c r="BK47" i="1"/>
  <c r="BH47" i="1"/>
  <c r="BE47" i="1"/>
  <c r="BB47" i="1"/>
  <c r="AY47" i="1"/>
  <c r="AV47" i="1"/>
  <c r="AS47" i="1"/>
  <c r="AP47" i="1"/>
  <c r="AM47" i="1"/>
  <c r="V47" i="1"/>
  <c r="W47" i="1" s="1"/>
  <c r="Q47" i="1"/>
  <c r="CY46" i="1"/>
  <c r="CE46" i="1"/>
  <c r="CB46" i="1"/>
  <c r="BY46" i="1"/>
  <c r="BV46" i="1"/>
  <c r="BQ46" i="1"/>
  <c r="BN46" i="1"/>
  <c r="BK46" i="1"/>
  <c r="BH46" i="1"/>
  <c r="BE46" i="1"/>
  <c r="BB46" i="1"/>
  <c r="AY46" i="1"/>
  <c r="AV46" i="1"/>
  <c r="AS46" i="1"/>
  <c r="AP46" i="1"/>
  <c r="AM46" i="1"/>
  <c r="V46" i="1"/>
  <c r="W46" i="1" s="1"/>
  <c r="Q46" i="1"/>
  <c r="DR46" i="1" s="1"/>
  <c r="CY45" i="1"/>
  <c r="CE45" i="1"/>
  <c r="CB45" i="1"/>
  <c r="BY45" i="1"/>
  <c r="BV45" i="1"/>
  <c r="BQ45" i="1"/>
  <c r="BN45" i="1"/>
  <c r="BK45" i="1"/>
  <c r="BH45" i="1"/>
  <c r="BE45" i="1"/>
  <c r="BB45" i="1"/>
  <c r="AY45" i="1"/>
  <c r="AV45" i="1"/>
  <c r="AS45" i="1"/>
  <c r="AP45" i="1"/>
  <c r="AM45" i="1"/>
  <c r="V45" i="1"/>
  <c r="W45" i="1" s="1"/>
  <c r="Q45" i="1"/>
  <c r="CY44" i="1"/>
  <c r="CE44" i="1"/>
  <c r="CB44" i="1"/>
  <c r="BY44" i="1"/>
  <c r="BV44" i="1"/>
  <c r="BQ44" i="1"/>
  <c r="BN44" i="1"/>
  <c r="BK44" i="1"/>
  <c r="BH44" i="1"/>
  <c r="BE44" i="1"/>
  <c r="BB44" i="1"/>
  <c r="AY44" i="1"/>
  <c r="AV44" i="1"/>
  <c r="AS44" i="1"/>
  <c r="AP44" i="1"/>
  <c r="AM44" i="1"/>
  <c r="V44" i="1"/>
  <c r="W44" i="1" s="1"/>
  <c r="Q44" i="1"/>
  <c r="CY43" i="1"/>
  <c r="CE43" i="1"/>
  <c r="CB43" i="1"/>
  <c r="BY43" i="1"/>
  <c r="BV43" i="1"/>
  <c r="BQ43" i="1"/>
  <c r="BN43" i="1"/>
  <c r="BK43" i="1"/>
  <c r="BH43" i="1"/>
  <c r="BE43" i="1"/>
  <c r="BB43" i="1"/>
  <c r="AY43" i="1"/>
  <c r="AV43" i="1"/>
  <c r="AS43" i="1"/>
  <c r="AP43" i="1"/>
  <c r="AM43" i="1"/>
  <c r="V43" i="1"/>
  <c r="W43" i="1" s="1"/>
  <c r="Q43" i="1"/>
  <c r="CY42" i="1"/>
  <c r="CE42" i="1"/>
  <c r="CB42" i="1"/>
  <c r="BY42" i="1"/>
  <c r="BV42" i="1"/>
  <c r="BQ42" i="1"/>
  <c r="BN42" i="1"/>
  <c r="BK42" i="1"/>
  <c r="BH42" i="1"/>
  <c r="BE42" i="1"/>
  <c r="BB42" i="1"/>
  <c r="AY42" i="1"/>
  <c r="AV42" i="1"/>
  <c r="AS42" i="1"/>
  <c r="AP42" i="1"/>
  <c r="AM42" i="1"/>
  <c r="AA42" i="1"/>
  <c r="V42" i="1"/>
  <c r="W42" i="1" s="1"/>
  <c r="Q42" i="1"/>
  <c r="DR42" i="1" s="1"/>
  <c r="CY41" i="1"/>
  <c r="CE41" i="1"/>
  <c r="CB41" i="1"/>
  <c r="BY41" i="1"/>
  <c r="BV41" i="1"/>
  <c r="BQ41" i="1"/>
  <c r="BN41" i="1"/>
  <c r="BK41" i="1"/>
  <c r="BH41" i="1"/>
  <c r="BE41" i="1"/>
  <c r="BB41" i="1"/>
  <c r="AY41" i="1"/>
  <c r="AV41" i="1"/>
  <c r="AS41" i="1"/>
  <c r="AP41" i="1"/>
  <c r="AM41" i="1"/>
  <c r="V41" i="1"/>
  <c r="W41" i="1" s="1"/>
  <c r="Q41" i="1"/>
  <c r="DR41" i="1" s="1"/>
  <c r="CY40" i="1"/>
  <c r="CE40" i="1"/>
  <c r="CB40" i="1"/>
  <c r="BY40" i="1"/>
  <c r="BV40" i="1"/>
  <c r="BQ40" i="1"/>
  <c r="BN40" i="1"/>
  <c r="BK40" i="1"/>
  <c r="BH40" i="1"/>
  <c r="BE40" i="1"/>
  <c r="BB40" i="1"/>
  <c r="AY40" i="1"/>
  <c r="AV40" i="1"/>
  <c r="AS40" i="1"/>
  <c r="AP40" i="1"/>
  <c r="V40" i="1"/>
  <c r="W40" i="1" s="1"/>
  <c r="Q40" i="1"/>
  <c r="CY39" i="1"/>
  <c r="CE39" i="1"/>
  <c r="CB39" i="1"/>
  <c r="BY39" i="1"/>
  <c r="BV39" i="1"/>
  <c r="BQ39" i="1"/>
  <c r="BN39" i="1"/>
  <c r="BK39" i="1"/>
  <c r="BH39" i="1"/>
  <c r="BE39" i="1"/>
  <c r="BB39" i="1"/>
  <c r="AY39" i="1"/>
  <c r="AV39" i="1"/>
  <c r="AS39" i="1"/>
  <c r="AP39" i="1"/>
  <c r="AM39" i="1"/>
  <c r="AA39" i="1"/>
  <c r="V39" i="1"/>
  <c r="W39" i="1" s="1"/>
  <c r="Q39" i="1"/>
  <c r="DR39" i="1" s="1"/>
  <c r="CY38" i="1"/>
  <c r="CE38" i="1"/>
  <c r="CB38" i="1"/>
  <c r="BY38" i="1"/>
  <c r="BV38" i="1"/>
  <c r="BQ38" i="1"/>
  <c r="BN38" i="1"/>
  <c r="BK38" i="1"/>
  <c r="BH38" i="1"/>
  <c r="BE38" i="1"/>
  <c r="BB38" i="1"/>
  <c r="AY38" i="1"/>
  <c r="AV38" i="1"/>
  <c r="AS38" i="1"/>
  <c r="AP38" i="1"/>
  <c r="AM38" i="1"/>
  <c r="V38" i="1"/>
  <c r="W38" i="1" s="1"/>
  <c r="Q38" i="1"/>
  <c r="DR38" i="1" s="1"/>
  <c r="CY37" i="1"/>
  <c r="CE37" i="1"/>
  <c r="CB37" i="1"/>
  <c r="BY37" i="1"/>
  <c r="BV37" i="1"/>
  <c r="BQ37" i="1"/>
  <c r="BN37" i="1"/>
  <c r="BK37" i="1"/>
  <c r="BH37" i="1"/>
  <c r="BE37" i="1"/>
  <c r="BB37" i="1"/>
  <c r="AY37" i="1"/>
  <c r="AV37" i="1"/>
  <c r="AS37" i="1"/>
  <c r="AP37" i="1"/>
  <c r="AM37" i="1"/>
  <c r="AA37" i="1"/>
  <c r="V37" i="1"/>
  <c r="W37" i="1" s="1"/>
  <c r="Q37" i="1"/>
  <c r="CY36" i="1"/>
  <c r="CE36" i="1"/>
  <c r="CB36" i="1"/>
  <c r="BY36" i="1"/>
  <c r="BV36" i="1"/>
  <c r="BQ36" i="1"/>
  <c r="BN36" i="1"/>
  <c r="BK36" i="1"/>
  <c r="BH36" i="1"/>
  <c r="BE36" i="1"/>
  <c r="BB36" i="1"/>
  <c r="AY36" i="1"/>
  <c r="AV36" i="1"/>
  <c r="AS36" i="1"/>
  <c r="AP36" i="1"/>
  <c r="AM36" i="1"/>
  <c r="AA36" i="1"/>
  <c r="V36" i="1"/>
  <c r="W36" i="1" s="1"/>
  <c r="Q36" i="1"/>
  <c r="CY35" i="1"/>
  <c r="CE35" i="1"/>
  <c r="CB35" i="1"/>
  <c r="BY35" i="1"/>
  <c r="BV35" i="1"/>
  <c r="BQ35" i="1"/>
  <c r="BN35" i="1"/>
  <c r="BK35" i="1"/>
  <c r="BH35" i="1"/>
  <c r="BE35" i="1"/>
  <c r="BB35" i="1"/>
  <c r="AY35" i="1"/>
  <c r="AV35" i="1"/>
  <c r="AS35" i="1"/>
  <c r="AP35" i="1"/>
  <c r="AM35" i="1"/>
  <c r="V35" i="1"/>
  <c r="W35" i="1" s="1"/>
  <c r="Q35" i="1"/>
  <c r="DR35" i="1" s="1"/>
  <c r="CY34" i="1"/>
  <c r="CE34" i="1"/>
  <c r="CB34" i="1"/>
  <c r="BY34" i="1"/>
  <c r="BV34" i="1"/>
  <c r="BQ34" i="1"/>
  <c r="BN34" i="1"/>
  <c r="BK34" i="1"/>
  <c r="BH34" i="1"/>
  <c r="BE34" i="1"/>
  <c r="BB34" i="1"/>
  <c r="AY34" i="1"/>
  <c r="AV34" i="1"/>
  <c r="AS34" i="1"/>
  <c r="AP34" i="1"/>
  <c r="AM34" i="1"/>
  <c r="V34" i="1"/>
  <c r="W34" i="1" s="1"/>
  <c r="Q34" i="1"/>
  <c r="DR34" i="1" s="1"/>
  <c r="CY33" i="1"/>
  <c r="CE33" i="1"/>
  <c r="CB33" i="1"/>
  <c r="BY33" i="1"/>
  <c r="BV33" i="1"/>
  <c r="BK33" i="1"/>
  <c r="BH33" i="1"/>
  <c r="BE33" i="1"/>
  <c r="BB33" i="1"/>
  <c r="AY33" i="1"/>
  <c r="AV33" i="1"/>
  <c r="AS33" i="1"/>
  <c r="AP33" i="1"/>
  <c r="AM33" i="1"/>
  <c r="AA33" i="1"/>
  <c r="V33" i="1"/>
  <c r="W33" i="1" s="1"/>
  <c r="Q33" i="1"/>
  <c r="CY32" i="1"/>
  <c r="CE32" i="1"/>
  <c r="CB32" i="1"/>
  <c r="BY32" i="1"/>
  <c r="BV32" i="1"/>
  <c r="BQ32" i="1"/>
  <c r="BN32" i="1"/>
  <c r="BK32" i="1"/>
  <c r="BH32" i="1"/>
  <c r="BE32" i="1"/>
  <c r="BB32" i="1"/>
  <c r="AY32" i="1"/>
  <c r="AV32" i="1"/>
  <c r="AS32" i="1"/>
  <c r="AP32" i="1"/>
  <c r="AM32" i="1"/>
  <c r="V32" i="1"/>
  <c r="W32" i="1" s="1"/>
  <c r="Q32" i="1"/>
  <c r="DR32" i="1" s="1"/>
  <c r="CY31" i="1"/>
  <c r="CE31" i="1"/>
  <c r="CB31" i="1"/>
  <c r="BY31" i="1"/>
  <c r="BV31" i="1"/>
  <c r="BQ31" i="1"/>
  <c r="BN31" i="1"/>
  <c r="BK31" i="1"/>
  <c r="BH31" i="1"/>
  <c r="BE31" i="1"/>
  <c r="BB31" i="1"/>
  <c r="AY31" i="1"/>
  <c r="AV31" i="1"/>
  <c r="AS31" i="1"/>
  <c r="AP31" i="1"/>
  <c r="AM31" i="1"/>
  <c r="V31" i="1"/>
  <c r="W31" i="1" s="1"/>
  <c r="Q31" i="1"/>
  <c r="CY30" i="1"/>
  <c r="CE30" i="1"/>
  <c r="CB30" i="1"/>
  <c r="BY30" i="1"/>
  <c r="BV30" i="1"/>
  <c r="BQ30" i="1"/>
  <c r="BN30" i="1"/>
  <c r="BK30" i="1"/>
  <c r="BH30" i="1"/>
  <c r="BE30" i="1"/>
  <c r="BB30" i="1"/>
  <c r="AY30" i="1"/>
  <c r="AV30" i="1"/>
  <c r="AS30" i="1"/>
  <c r="AP30" i="1"/>
  <c r="AM30" i="1"/>
  <c r="V30" i="1"/>
  <c r="W30" i="1" s="1"/>
  <c r="Q30" i="1"/>
  <c r="CY29" i="1"/>
  <c r="CE29" i="1"/>
  <c r="CB29" i="1"/>
  <c r="BY29" i="1"/>
  <c r="BV29" i="1"/>
  <c r="BQ29" i="1"/>
  <c r="BN29" i="1"/>
  <c r="BK29" i="1"/>
  <c r="BH29" i="1"/>
  <c r="BE29" i="1"/>
  <c r="BB29" i="1"/>
  <c r="AY29" i="1"/>
  <c r="AV29" i="1"/>
  <c r="AS29" i="1"/>
  <c r="AP29" i="1"/>
  <c r="AM29" i="1"/>
  <c r="AA29" i="1"/>
  <c r="V29" i="1"/>
  <c r="W29" i="1" s="1"/>
  <c r="Q29" i="1"/>
  <c r="CY28" i="1"/>
  <c r="CE28" i="1"/>
  <c r="CB28" i="1"/>
  <c r="BY28" i="1"/>
  <c r="BV28" i="1"/>
  <c r="BQ28" i="1"/>
  <c r="BN28" i="1"/>
  <c r="BK28" i="1"/>
  <c r="BH28" i="1"/>
  <c r="BE28" i="1"/>
  <c r="BB28" i="1"/>
  <c r="AY28" i="1"/>
  <c r="AV28" i="1"/>
  <c r="AS28" i="1"/>
  <c r="AP28" i="1"/>
  <c r="AM28" i="1"/>
  <c r="AA28" i="1"/>
  <c r="Q28" i="1"/>
  <c r="CY27" i="1"/>
  <c r="CE27" i="1"/>
  <c r="CB27" i="1"/>
  <c r="BY27" i="1"/>
  <c r="BV27" i="1"/>
  <c r="BQ27" i="1"/>
  <c r="BN27" i="1"/>
  <c r="BK27" i="1"/>
  <c r="BH27" i="1"/>
  <c r="BE27" i="1"/>
  <c r="BB27" i="1"/>
  <c r="AY27" i="1"/>
  <c r="AV27" i="1"/>
  <c r="AS27" i="1"/>
  <c r="AP27" i="1"/>
  <c r="AM27" i="1"/>
  <c r="AA27" i="1"/>
  <c r="CY26" i="1"/>
  <c r="CE26" i="1"/>
  <c r="CB26" i="1"/>
  <c r="BY26" i="1"/>
  <c r="BV26" i="1"/>
  <c r="BQ26" i="1"/>
  <c r="BN26" i="1"/>
  <c r="BK26" i="1"/>
  <c r="BH26" i="1"/>
  <c r="BE26" i="1"/>
  <c r="BB26" i="1"/>
  <c r="AY26" i="1"/>
  <c r="AV26" i="1"/>
  <c r="AS26" i="1"/>
  <c r="AP26" i="1"/>
  <c r="AM26" i="1"/>
  <c r="AA26" i="1"/>
  <c r="V26" i="1"/>
  <c r="W26" i="1" s="1"/>
  <c r="Q26" i="1"/>
  <c r="CY25" i="1"/>
  <c r="CE25" i="1"/>
  <c r="CB25" i="1"/>
  <c r="BY25" i="1"/>
  <c r="BV25" i="1"/>
  <c r="BQ25" i="1"/>
  <c r="BN25" i="1"/>
  <c r="BK25" i="1"/>
  <c r="BH25" i="1"/>
  <c r="BE25" i="1"/>
  <c r="BB25" i="1"/>
  <c r="AY25" i="1"/>
  <c r="AV25" i="1"/>
  <c r="AS25" i="1"/>
  <c r="AP25" i="1"/>
  <c r="AM25" i="1"/>
  <c r="AA25" i="1"/>
  <c r="Q25" i="1"/>
  <c r="CY24" i="1"/>
  <c r="CE24" i="1"/>
  <c r="CB24" i="1"/>
  <c r="BY24" i="1"/>
  <c r="BV24" i="1"/>
  <c r="BQ24" i="1"/>
  <c r="BN24" i="1"/>
  <c r="BK24" i="1"/>
  <c r="BH24" i="1"/>
  <c r="BE24" i="1"/>
  <c r="BB24" i="1"/>
  <c r="AY24" i="1"/>
  <c r="AV24" i="1"/>
  <c r="AS24" i="1"/>
  <c r="AP24" i="1"/>
  <c r="AM24" i="1"/>
  <c r="AA24" i="1"/>
  <c r="Q24" i="1"/>
  <c r="CY23" i="1"/>
  <c r="CE23" i="1"/>
  <c r="CB23" i="1"/>
  <c r="BY23" i="1"/>
  <c r="BV23" i="1"/>
  <c r="BQ23" i="1"/>
  <c r="BN23" i="1"/>
  <c r="BK23" i="1"/>
  <c r="BH23" i="1"/>
  <c r="BE23" i="1"/>
  <c r="BB23" i="1"/>
  <c r="AY23" i="1"/>
  <c r="AV23" i="1"/>
  <c r="AS23" i="1"/>
  <c r="AP23" i="1"/>
  <c r="AM23" i="1"/>
  <c r="AA23" i="1"/>
  <c r="Q23" i="1"/>
  <c r="DR23" i="1" s="1"/>
  <c r="CY22" i="1"/>
  <c r="CE22" i="1"/>
  <c r="CB22" i="1"/>
  <c r="BY22" i="1"/>
  <c r="BV22" i="1"/>
  <c r="BQ22" i="1"/>
  <c r="BN22" i="1"/>
  <c r="BK22" i="1"/>
  <c r="BH22" i="1"/>
  <c r="BE22" i="1"/>
  <c r="BB22" i="1"/>
  <c r="AY22" i="1"/>
  <c r="AV22" i="1"/>
  <c r="AS22" i="1"/>
  <c r="AP22" i="1"/>
  <c r="AM22" i="1"/>
  <c r="AA22" i="1"/>
  <c r="Q22" i="1"/>
  <c r="CY21" i="1"/>
  <c r="CE21" i="1"/>
  <c r="CB21" i="1"/>
  <c r="BY21" i="1"/>
  <c r="BV21" i="1"/>
  <c r="BQ21" i="1"/>
  <c r="BN21" i="1"/>
  <c r="BK21" i="1"/>
  <c r="BH21" i="1"/>
  <c r="BE21" i="1"/>
  <c r="BB21" i="1"/>
  <c r="AY21" i="1"/>
  <c r="AV21" i="1"/>
  <c r="AS21" i="1"/>
  <c r="AP21" i="1"/>
  <c r="AM21" i="1"/>
  <c r="V21" i="1"/>
  <c r="W21" i="1" s="1"/>
  <c r="Q21" i="1"/>
  <c r="CY20" i="1"/>
  <c r="CE20" i="1"/>
  <c r="CB20" i="1"/>
  <c r="BY20" i="1"/>
  <c r="BV20" i="1"/>
  <c r="BQ20" i="1"/>
  <c r="BN20" i="1"/>
  <c r="BK20" i="1"/>
  <c r="BH20" i="1"/>
  <c r="BE20" i="1"/>
  <c r="BB20" i="1"/>
  <c r="AY20" i="1"/>
  <c r="AV20" i="1"/>
  <c r="AS20" i="1"/>
  <c r="AP20" i="1"/>
  <c r="AM20" i="1"/>
  <c r="AA20" i="1"/>
  <c r="V20" i="1"/>
  <c r="W20" i="1" s="1"/>
  <c r="Q20" i="1"/>
  <c r="DR20" i="1" s="1"/>
  <c r="CY19" i="1"/>
  <c r="CE19" i="1"/>
  <c r="CB19" i="1"/>
  <c r="BY19" i="1"/>
  <c r="BV19" i="1"/>
  <c r="BQ19" i="1"/>
  <c r="BN19" i="1"/>
  <c r="BK19" i="1"/>
  <c r="BH19" i="1"/>
  <c r="BE19" i="1"/>
  <c r="BB19" i="1"/>
  <c r="AY19" i="1"/>
  <c r="AV19" i="1"/>
  <c r="AS19" i="1"/>
  <c r="AP19" i="1"/>
  <c r="AM19" i="1"/>
  <c r="AA19" i="1"/>
  <c r="Q19" i="1"/>
  <c r="DR19" i="1" s="1"/>
  <c r="CY14" i="1"/>
  <c r="CE14" i="1"/>
  <c r="CB14" i="1"/>
  <c r="BY14" i="1"/>
  <c r="BV14" i="1"/>
  <c r="BQ14" i="1"/>
  <c r="BN14" i="1"/>
  <c r="BK14" i="1"/>
  <c r="BH14" i="1"/>
  <c r="BE14" i="1"/>
  <c r="BB14" i="1"/>
  <c r="AY14" i="1"/>
  <c r="AV14" i="1"/>
  <c r="AS14" i="1"/>
  <c r="AP14" i="1"/>
  <c r="AM14" i="1"/>
  <c r="AA14" i="1"/>
  <c r="V14" i="1"/>
  <c r="W14" i="1" s="1"/>
  <c r="Q14" i="1"/>
  <c r="DR14" i="1" s="1"/>
  <c r="CY15" i="1"/>
  <c r="CE15" i="1"/>
  <c r="CB15" i="1"/>
  <c r="BY15" i="1"/>
  <c r="BV15" i="1"/>
  <c r="BQ15" i="1"/>
  <c r="BN15" i="1"/>
  <c r="BK15" i="1"/>
  <c r="BH15" i="1"/>
  <c r="BE15" i="1"/>
  <c r="BB15" i="1"/>
  <c r="AY15" i="1"/>
  <c r="AV15" i="1"/>
  <c r="AS15" i="1"/>
  <c r="AP15" i="1"/>
  <c r="AM15" i="1"/>
  <c r="AA15" i="1"/>
  <c r="V15" i="1"/>
  <c r="W15" i="1" s="1"/>
  <c r="Q15" i="1"/>
  <c r="CY13" i="1"/>
  <c r="CE13" i="1"/>
  <c r="CB13" i="1"/>
  <c r="BY13" i="1"/>
  <c r="BV13" i="1"/>
  <c r="BQ13" i="1"/>
  <c r="BN13" i="1"/>
  <c r="BK13" i="1"/>
  <c r="BH13" i="1"/>
  <c r="BE13" i="1"/>
  <c r="BB13" i="1"/>
  <c r="AY13" i="1"/>
  <c r="AV13" i="1"/>
  <c r="AS13" i="1"/>
  <c r="AP13" i="1"/>
  <c r="AM13" i="1"/>
  <c r="AA13" i="1"/>
  <c r="Q13" i="1"/>
  <c r="CY12" i="1"/>
  <c r="CE12" i="1"/>
  <c r="CB12" i="1"/>
  <c r="BY12" i="1"/>
  <c r="BV12" i="1"/>
  <c r="BQ12" i="1"/>
  <c r="BN12" i="1"/>
  <c r="BK12" i="1"/>
  <c r="BH12" i="1"/>
  <c r="BE12" i="1"/>
  <c r="BB12" i="1"/>
  <c r="AY12" i="1"/>
  <c r="AV12" i="1"/>
  <c r="AS12" i="1"/>
  <c r="AP12" i="1"/>
  <c r="AM12" i="1"/>
  <c r="AA12" i="1"/>
  <c r="V12" i="1"/>
  <c r="W12" i="1" s="1"/>
  <c r="Q12" i="1"/>
  <c r="CY11" i="1"/>
  <c r="CE11" i="1"/>
  <c r="CB11" i="1"/>
  <c r="BY11" i="1"/>
  <c r="BV11" i="1"/>
  <c r="BQ11" i="1"/>
  <c r="BN11" i="1"/>
  <c r="BK11" i="1"/>
  <c r="BH11" i="1"/>
  <c r="BE11" i="1"/>
  <c r="BB11" i="1"/>
  <c r="AY11" i="1"/>
  <c r="AV11" i="1"/>
  <c r="AS11" i="1"/>
  <c r="AP11" i="1"/>
  <c r="AM11" i="1"/>
  <c r="V11" i="1"/>
  <c r="W11" i="1" s="1"/>
  <c r="Q11" i="1"/>
  <c r="CY9" i="1"/>
  <c r="CE9" i="1"/>
  <c r="CB9" i="1"/>
  <c r="BY9" i="1"/>
  <c r="BV9" i="1"/>
  <c r="BQ9" i="1"/>
  <c r="BN9" i="1"/>
  <c r="BK9" i="1"/>
  <c r="BH9" i="1"/>
  <c r="BE9" i="1"/>
  <c r="BB9" i="1"/>
  <c r="AY9" i="1"/>
  <c r="AV9" i="1"/>
  <c r="AS9" i="1"/>
  <c r="AP9" i="1"/>
  <c r="AM9" i="1"/>
  <c r="AA9" i="1"/>
  <c r="Q9" i="1"/>
  <c r="DN1" i="1"/>
  <c r="DM188" i="1" l="1"/>
  <c r="DO188" i="1" s="1"/>
  <c r="DP188" i="1" s="1"/>
  <c r="CY170" i="1"/>
  <c r="Q170" i="1"/>
  <c r="DR170" i="1" s="1"/>
  <c r="AP130" i="1"/>
  <c r="Q130" i="1"/>
  <c r="DR130" i="1" s="1"/>
  <c r="CI78" i="1"/>
  <c r="DM66" i="1"/>
  <c r="DO66" i="1" s="1"/>
  <c r="DP66" i="1" s="1"/>
  <c r="Y130" i="1"/>
  <c r="W130" i="1"/>
  <c r="Y136" i="1"/>
  <c r="W136" i="1"/>
  <c r="Y140" i="1"/>
  <c r="W140" i="1"/>
  <c r="DM168" i="1"/>
  <c r="DO168" i="1" s="1"/>
  <c r="DP168" i="1" s="1"/>
  <c r="DM245" i="1"/>
  <c r="DO245" i="1" s="1"/>
  <c r="DP245" i="1" s="1"/>
  <c r="DM246" i="1"/>
  <c r="DO246" i="1" s="1"/>
  <c r="DP246" i="1" s="1"/>
  <c r="DM165" i="1"/>
  <c r="DO165" i="1" s="1"/>
  <c r="DP165" i="1" s="1"/>
  <c r="DM89" i="1"/>
  <c r="DO89" i="1" s="1"/>
  <c r="DP89" i="1" s="1"/>
  <c r="DM166" i="1"/>
  <c r="DO166" i="1" s="1"/>
  <c r="DP166" i="1" s="1"/>
  <c r="DM16" i="1"/>
  <c r="DO16" i="1" s="1"/>
  <c r="DP16" i="1" s="1"/>
  <c r="DM17" i="1"/>
  <c r="DO17" i="1" s="1"/>
  <c r="DP17" i="1" s="1"/>
  <c r="DM164" i="1"/>
  <c r="DO164" i="1" s="1"/>
  <c r="DP164" i="1" s="1"/>
  <c r="DM67" i="1"/>
  <c r="DO67" i="1" s="1"/>
  <c r="DP67" i="1" s="1"/>
  <c r="DM87" i="1"/>
  <c r="DO87" i="1" s="1"/>
  <c r="DP87" i="1" s="1"/>
  <c r="DM18" i="1"/>
  <c r="DO18" i="1" s="1"/>
  <c r="DP18" i="1" s="1"/>
  <c r="V77" i="1"/>
  <c r="W77" i="1" s="1"/>
  <c r="DM76" i="1"/>
  <c r="DO76" i="1" s="1"/>
  <c r="DP76" i="1" s="1"/>
  <c r="DM295" i="1"/>
  <c r="DO295" i="1" s="1"/>
  <c r="DP295" i="1" s="1"/>
  <c r="DM161" i="1"/>
  <c r="DO161" i="1" s="1"/>
  <c r="DP161" i="1" s="1"/>
  <c r="DM231" i="1"/>
  <c r="DO231" i="1" s="1"/>
  <c r="DP231" i="1" s="1"/>
  <c r="DM163" i="1"/>
  <c r="DO163" i="1" s="1"/>
  <c r="DP163" i="1" s="1"/>
  <c r="Y100" i="1"/>
  <c r="Y218" i="1"/>
  <c r="Y41" i="1"/>
  <c r="Y226" i="1"/>
  <c r="Y129" i="1"/>
  <c r="Y150" i="1"/>
  <c r="Y153" i="1"/>
  <c r="Y157" i="1"/>
  <c r="Y38" i="1"/>
  <c r="Y191" i="1"/>
  <c r="Y194" i="1"/>
  <c r="DR30" i="1"/>
  <c r="Y30" i="1" s="1"/>
  <c r="DR56" i="1"/>
  <c r="Y56" i="1" s="1"/>
  <c r="DR61" i="1"/>
  <c r="Y61" i="1" s="1"/>
  <c r="DR83" i="1"/>
  <c r="Y83" i="1" s="1"/>
  <c r="V85" i="1"/>
  <c r="W85" i="1" s="1"/>
  <c r="DR85" i="1"/>
  <c r="DR135" i="1"/>
  <c r="DR174" i="1"/>
  <c r="Y174" i="1" s="1"/>
  <c r="DR237" i="1"/>
  <c r="Y237" i="1" s="1"/>
  <c r="DR256" i="1"/>
  <c r="DR278" i="1"/>
  <c r="Y278" i="1" s="1"/>
  <c r="DR287" i="1"/>
  <c r="Y287" i="1" s="1"/>
  <c r="Y23" i="1"/>
  <c r="DR29" i="1"/>
  <c r="Y29" i="1" s="1"/>
  <c r="DR36" i="1"/>
  <c r="DR63" i="1"/>
  <c r="Y63" i="1" s="1"/>
  <c r="DR79" i="1"/>
  <c r="Y79" i="1" s="1"/>
  <c r="DR90" i="1"/>
  <c r="Y90" i="1" s="1"/>
  <c r="DR99" i="1"/>
  <c r="Y99" i="1" s="1"/>
  <c r="DR103" i="1"/>
  <c r="Y103" i="1" s="1"/>
  <c r="DR106" i="1"/>
  <c r="Y106" i="1" s="1"/>
  <c r="Y125" i="1"/>
  <c r="DR138" i="1"/>
  <c r="DR144" i="1"/>
  <c r="Y149" i="1"/>
  <c r="DR151" i="1"/>
  <c r="DR152" i="1"/>
  <c r="Y152" i="1" s="1"/>
  <c r="DR156" i="1"/>
  <c r="Y156" i="1" s="1"/>
  <c r="DR182" i="1"/>
  <c r="Y182" i="1" s="1"/>
  <c r="DR189" i="1"/>
  <c r="Y189" i="1" s="1"/>
  <c r="DR192" i="1"/>
  <c r="Y192" i="1" s="1"/>
  <c r="DR205" i="1"/>
  <c r="Y205" i="1" s="1"/>
  <c r="DR216" i="1"/>
  <c r="Y216" i="1" s="1"/>
  <c r="Y223" i="1"/>
  <c r="Y227" i="1"/>
  <c r="V248" i="1"/>
  <c r="W248" i="1" s="1"/>
  <c r="DR248" i="1"/>
  <c r="Y248" i="1" s="1"/>
  <c r="DR249" i="1"/>
  <c r="Y249" i="1" s="1"/>
  <c r="Y251" i="1"/>
  <c r="Y262" i="1"/>
  <c r="DR270" i="1"/>
  <c r="Y270" i="1" s="1"/>
  <c r="DR291" i="1"/>
  <c r="Y291" i="1" s="1"/>
  <c r="DR297" i="1"/>
  <c r="Y297" i="1" s="1"/>
  <c r="V299" i="1"/>
  <c r="W299" i="1" s="1"/>
  <c r="DR299" i="1"/>
  <c r="Y299" i="1" s="1"/>
  <c r="DR15" i="1"/>
  <c r="Y15" i="1" s="1"/>
  <c r="DR45" i="1"/>
  <c r="Y45" i="1" s="1"/>
  <c r="DR47" i="1"/>
  <c r="Y47" i="1" s="1"/>
  <c r="DR80" i="1"/>
  <c r="Y80" i="1" s="1"/>
  <c r="DR91" i="1"/>
  <c r="Y91" i="1" s="1"/>
  <c r="DR95" i="1"/>
  <c r="Y95" i="1" s="1"/>
  <c r="DR110" i="1"/>
  <c r="Y110" i="1" s="1"/>
  <c r="DR115" i="1"/>
  <c r="Y115" i="1" s="1"/>
  <c r="DR139" i="1"/>
  <c r="Y139" i="1" s="1"/>
  <c r="V173" i="1"/>
  <c r="W173" i="1" s="1"/>
  <c r="DR173" i="1"/>
  <c r="Y206" i="1"/>
  <c r="DR221" i="1"/>
  <c r="DR280" i="1"/>
  <c r="Y280" i="1" s="1"/>
  <c r="DR283" i="1"/>
  <c r="Y283" i="1" s="1"/>
  <c r="DR285" i="1"/>
  <c r="Y285" i="1" s="1"/>
  <c r="DR289" i="1"/>
  <c r="Y289" i="1" s="1"/>
  <c r="DR292" i="1"/>
  <c r="Y292" i="1" s="1"/>
  <c r="DR25" i="1"/>
  <c r="Y25" i="1" s="1"/>
  <c r="DR51" i="1"/>
  <c r="Y51" i="1" s="1"/>
  <c r="DM124" i="1"/>
  <c r="DM239" i="1"/>
  <c r="DO239" i="1" s="1"/>
  <c r="DP239" i="1" s="1"/>
  <c r="DM186" i="1"/>
  <c r="DO186" i="1" s="1"/>
  <c r="DP186" i="1" s="1"/>
  <c r="DM10" i="1"/>
  <c r="DO10" i="1" s="1"/>
  <c r="DP10" i="1" s="1"/>
  <c r="DM167" i="1"/>
  <c r="DO167" i="1" s="1"/>
  <c r="DP167" i="1" s="1"/>
  <c r="DM68" i="1"/>
  <c r="DO68" i="1" s="1"/>
  <c r="DP68" i="1" s="1"/>
  <c r="DM201" i="1"/>
  <c r="DO201" i="1" s="1"/>
  <c r="DP201" i="1" s="1"/>
  <c r="DM122" i="1"/>
  <c r="DO122" i="1" s="1"/>
  <c r="DP122" i="1" s="1"/>
  <c r="DM120" i="1"/>
  <c r="DO120" i="1" s="1"/>
  <c r="DP120" i="1" s="1"/>
  <c r="DM121" i="1"/>
  <c r="DO121" i="1" s="1"/>
  <c r="DP121" i="1" s="1"/>
  <c r="DM230" i="1"/>
  <c r="DO230" i="1" s="1"/>
  <c r="DP230" i="1" s="1"/>
  <c r="DM119" i="1"/>
  <c r="DO119" i="1" s="1"/>
  <c r="DP119" i="1" s="1"/>
  <c r="DM162" i="1"/>
  <c r="DO162" i="1" s="1"/>
  <c r="DP162" i="1" s="1"/>
  <c r="DM160" i="1"/>
  <c r="DO160" i="1" s="1"/>
  <c r="DP160" i="1" s="1"/>
  <c r="DM200" i="1"/>
  <c r="DO200" i="1" s="1"/>
  <c r="DP200" i="1" s="1"/>
  <c r="DM199" i="1"/>
  <c r="DO199" i="1" s="1"/>
  <c r="DP199" i="1" s="1"/>
  <c r="DM88" i="1"/>
  <c r="DO88" i="1" s="1"/>
  <c r="DP88" i="1" s="1"/>
  <c r="DM198" i="1"/>
  <c r="DO198" i="1" s="1"/>
  <c r="DP198" i="1" s="1"/>
  <c r="DM131" i="1"/>
  <c r="DO131" i="1" s="1"/>
  <c r="DP131" i="1" s="1"/>
  <c r="DM212" i="1"/>
  <c r="DO212" i="1" s="1"/>
  <c r="DP212" i="1" s="1"/>
  <c r="DM273" i="1"/>
  <c r="DO273" i="1" s="1"/>
  <c r="DP273" i="1" s="1"/>
  <c r="DM267" i="1"/>
  <c r="DO267" i="1" s="1"/>
  <c r="DP267" i="1" s="1"/>
  <c r="DM242" i="1"/>
  <c r="DO242" i="1" s="1"/>
  <c r="DP242" i="1" s="1"/>
  <c r="DM272" i="1"/>
  <c r="DO272" i="1" s="1"/>
  <c r="DP272" i="1" s="1"/>
  <c r="DM71" i="1"/>
  <c r="DO71" i="1" s="1"/>
  <c r="DP71" i="1" s="1"/>
  <c r="DM70" i="1"/>
  <c r="DO70" i="1" s="1"/>
  <c r="DP70" i="1" s="1"/>
  <c r="DM132" i="1"/>
  <c r="DO132" i="1" s="1"/>
  <c r="DP132" i="1" s="1"/>
  <c r="DM269" i="1"/>
  <c r="DO269" i="1" s="1"/>
  <c r="DP269" i="1" s="1"/>
  <c r="DM264" i="1"/>
  <c r="DO264" i="1" s="1"/>
  <c r="DP264" i="1" s="1"/>
  <c r="DM263" i="1"/>
  <c r="DO263" i="1" s="1"/>
  <c r="DP263" i="1" s="1"/>
  <c r="DM268" i="1"/>
  <c r="DO268" i="1" s="1"/>
  <c r="DP268" i="1" s="1"/>
  <c r="DM265" i="1"/>
  <c r="DO265" i="1" s="1"/>
  <c r="DP265" i="1" s="1"/>
  <c r="DM72" i="1"/>
  <c r="DO72" i="1" s="1"/>
  <c r="DP72" i="1" s="1"/>
  <c r="DM275" i="1"/>
  <c r="DO275" i="1" s="1"/>
  <c r="DP275" i="1" s="1"/>
  <c r="DM259" i="1"/>
  <c r="DO259" i="1" s="1"/>
  <c r="DP259" i="1" s="1"/>
  <c r="DM276" i="1"/>
  <c r="DO276" i="1" s="1"/>
  <c r="DP276" i="1" s="1"/>
  <c r="DM73" i="1"/>
  <c r="DO73" i="1" s="1"/>
  <c r="DP73" i="1" s="1"/>
  <c r="DM74" i="1"/>
  <c r="DO74" i="1" s="1"/>
  <c r="DP74" i="1" s="1"/>
  <c r="DM8" i="1"/>
  <c r="DO8" i="1" s="1"/>
  <c r="DP8" i="1" s="1"/>
  <c r="DM7" i="1"/>
  <c r="DO7" i="1" s="1"/>
  <c r="DP7" i="1" s="1"/>
  <c r="DM171" i="1"/>
  <c r="DO171" i="1" s="1"/>
  <c r="DP171" i="1" s="1"/>
  <c r="DM75" i="1"/>
  <c r="DO75" i="1" s="1"/>
  <c r="DP75" i="1" s="1"/>
  <c r="V13" i="1"/>
  <c r="W13" i="1" s="1"/>
  <c r="DR13" i="1"/>
  <c r="Y20" i="1"/>
  <c r="DR31" i="1"/>
  <c r="Y31" i="1" s="1"/>
  <c r="DR33" i="1"/>
  <c r="Y34" i="1"/>
  <c r="Y39" i="1"/>
  <c r="DR40" i="1"/>
  <c r="Y40" i="1" s="1"/>
  <c r="Y42" i="1"/>
  <c r="DR44" i="1"/>
  <c r="Y44" i="1" s="1"/>
  <c r="DR48" i="1"/>
  <c r="Y48" i="1" s="1"/>
  <c r="Y53" i="1"/>
  <c r="DR55" i="1"/>
  <c r="Y55" i="1" s="1"/>
  <c r="Y57" i="1"/>
  <c r="Y58" i="1"/>
  <c r="DR60" i="1"/>
  <c r="Y60" i="1" s="1"/>
  <c r="Y62" i="1"/>
  <c r="Y65" i="1"/>
  <c r="Y78" i="1"/>
  <c r="V82" i="1"/>
  <c r="W82" i="1" s="1"/>
  <c r="DR82" i="1"/>
  <c r="DR84" i="1"/>
  <c r="Y84" i="1" s="1"/>
  <c r="Y86" i="1"/>
  <c r="Y92" i="1"/>
  <c r="DR94" i="1"/>
  <c r="Y94" i="1" s="1"/>
  <c r="Y101" i="1"/>
  <c r="Y112" i="1"/>
  <c r="DR114" i="1"/>
  <c r="Y114" i="1" s="1"/>
  <c r="DR118" i="1"/>
  <c r="Y118" i="1" s="1"/>
  <c r="DR127" i="1"/>
  <c r="Y127" i="1" s="1"/>
  <c r="DR134" i="1"/>
  <c r="Y134" i="1" s="1"/>
  <c r="DR142" i="1"/>
  <c r="Y142" i="1" s="1"/>
  <c r="Y143" i="1"/>
  <c r="DR148" i="1"/>
  <c r="Y148" i="1" s="1"/>
  <c r="Y154" i="1"/>
  <c r="Y158" i="1"/>
  <c r="DR175" i="1"/>
  <c r="Y175" i="1" s="1"/>
  <c r="Y184" i="1"/>
  <c r="Y195" i="1"/>
  <c r="Y202" i="1"/>
  <c r="Y203" i="1"/>
  <c r="DR208" i="1"/>
  <c r="DR213" i="1"/>
  <c r="Y213" i="1" s="1"/>
  <c r="V215" i="1"/>
  <c r="W215" i="1" s="1"/>
  <c r="DR215" i="1"/>
  <c r="Y219" i="1"/>
  <c r="Y222" i="1"/>
  <c r="DR224" i="1"/>
  <c r="Y224" i="1" s="1"/>
  <c r="DR228" i="1"/>
  <c r="Y228" i="1" s="1"/>
  <c r="DR232" i="1"/>
  <c r="Y232" i="1" s="1"/>
  <c r="Y234" i="1"/>
  <c r="DR241" i="1"/>
  <c r="Y241" i="1" s="1"/>
  <c r="Y247" i="1"/>
  <c r="DR253" i="1"/>
  <c r="Y255" i="1"/>
  <c r="DR261" i="1"/>
  <c r="Y261" i="1" s="1"/>
  <c r="DR266" i="1"/>
  <c r="Y266" i="1" s="1"/>
  <c r="DR277" i="1"/>
  <c r="Y277" i="1" s="1"/>
  <c r="DR279" i="1"/>
  <c r="Y279" i="1" s="1"/>
  <c r="V281" i="1"/>
  <c r="W281" i="1" s="1"/>
  <c r="DR281" i="1"/>
  <c r="Y281" i="1" s="1"/>
  <c r="DR282" i="1"/>
  <c r="Y282" i="1" s="1"/>
  <c r="V284" i="1"/>
  <c r="W284" i="1" s="1"/>
  <c r="DR284" i="1"/>
  <c r="Y284" i="1" s="1"/>
  <c r="DR286" i="1"/>
  <c r="Y286" i="1" s="1"/>
  <c r="DR288" i="1"/>
  <c r="Y288" i="1" s="1"/>
  <c r="DR294" i="1"/>
  <c r="Y294" i="1" s="1"/>
  <c r="DR296" i="1"/>
  <c r="Y296" i="1" s="1"/>
  <c r="Y19" i="1"/>
  <c r="DR37" i="1"/>
  <c r="Y37" i="1" s="1"/>
  <c r="DR43" i="1"/>
  <c r="DR52" i="1"/>
  <c r="Y52" i="1" s="1"/>
  <c r="Y93" i="1"/>
  <c r="V117" i="1"/>
  <c r="W117" i="1" s="1"/>
  <c r="DR117" i="1"/>
  <c r="DR123" i="1"/>
  <c r="V169" i="1"/>
  <c r="W169" i="1" s="1"/>
  <c r="DR169" i="1"/>
  <c r="Y214" i="1"/>
  <c r="DR225" i="1"/>
  <c r="Y225" i="1" s="1"/>
  <c r="DR229" i="1"/>
  <c r="Y229" i="1" s="1"/>
  <c r="V233" i="1"/>
  <c r="W233" i="1" s="1"/>
  <c r="DR233" i="1"/>
  <c r="Y233" i="1" s="1"/>
  <c r="Y235" i="1"/>
  <c r="V240" i="1"/>
  <c r="W240" i="1" s="1"/>
  <c r="DR240" i="1"/>
  <c r="V252" i="1"/>
  <c r="W252" i="1" s="1"/>
  <c r="DR252" i="1"/>
  <c r="Y252" i="1" s="1"/>
  <c r="V254" i="1"/>
  <c r="W254" i="1" s="1"/>
  <c r="DR254" i="1"/>
  <c r="DR274" i="1"/>
  <c r="Y274" i="1" s="1"/>
  <c r="DR271" i="1"/>
  <c r="Y271" i="1" s="1"/>
  <c r="DR11" i="1"/>
  <c r="DR21" i="1"/>
  <c r="Y21" i="1" s="1"/>
  <c r="Y32" i="1"/>
  <c r="V9" i="1"/>
  <c r="W9" i="1" s="1"/>
  <c r="DR9" i="1"/>
  <c r="DR12" i="1"/>
  <c r="Y14" i="1"/>
  <c r="V22" i="1"/>
  <c r="W22" i="1" s="1"/>
  <c r="DR22" i="1"/>
  <c r="Y22" i="1" s="1"/>
  <c r="V24" i="1"/>
  <c r="W24" i="1" s="1"/>
  <c r="DR24" i="1"/>
  <c r="DR26" i="1"/>
  <c r="Y26" i="1" s="1"/>
  <c r="V28" i="1"/>
  <c r="W28" i="1" s="1"/>
  <c r="DR28" i="1"/>
  <c r="Y35" i="1"/>
  <c r="Y50" i="1"/>
  <c r="DR59" i="1"/>
  <c r="Y59" i="1" s="1"/>
  <c r="DR64" i="1"/>
  <c r="V69" i="1"/>
  <c r="W69" i="1" s="1"/>
  <c r="DR69" i="1"/>
  <c r="Y69" i="1" s="1"/>
  <c r="Y77" i="1"/>
  <c r="Y81" i="1"/>
  <c r="DR98" i="1"/>
  <c r="Y98" i="1" s="1"/>
  <c r="DR102" i="1"/>
  <c r="Y102" i="1" s="1"/>
  <c r="DR104" i="1"/>
  <c r="Y104" i="1" s="1"/>
  <c r="Y105" i="1"/>
  <c r="DR107" i="1"/>
  <c r="Y107" i="1" s="1"/>
  <c r="DR111" i="1"/>
  <c r="Y111" i="1" s="1"/>
  <c r="DR126" i="1"/>
  <c r="Y126" i="1" s="1"/>
  <c r="Y137" i="1"/>
  <c r="DR141" i="1"/>
  <c r="Y141" i="1" s="1"/>
  <c r="DR145" i="1"/>
  <c r="Y145" i="1" s="1"/>
  <c r="DR155" i="1"/>
  <c r="Y155" i="1" s="1"/>
  <c r="DR159" i="1"/>
  <c r="V177" i="1"/>
  <c r="W177" i="1" s="1"/>
  <c r="DR177" i="1"/>
  <c r="V178" i="1"/>
  <c r="W178" i="1" s="1"/>
  <c r="DR178" i="1"/>
  <c r="Y178" i="1" s="1"/>
  <c r="DR179" i="1"/>
  <c r="DR183" i="1"/>
  <c r="Y183" i="1" s="1"/>
  <c r="DR187" i="1"/>
  <c r="Y187" i="1" s="1"/>
  <c r="V190" i="1"/>
  <c r="W190" i="1" s="1"/>
  <c r="DR190" i="1"/>
  <c r="DR193" i="1"/>
  <c r="Y193" i="1" s="1"/>
  <c r="V196" i="1"/>
  <c r="W196" i="1" s="1"/>
  <c r="DR196" i="1"/>
  <c r="DR197" i="1"/>
  <c r="Y197" i="1" s="1"/>
  <c r="DR204" i="1"/>
  <c r="Y204" i="1" s="1"/>
  <c r="Y207" i="1"/>
  <c r="DR209" i="1"/>
  <c r="DR217" i="1"/>
  <c r="Y217" i="1" s="1"/>
  <c r="DR220" i="1"/>
  <c r="Y220" i="1" s="1"/>
  <c r="Y244" i="1"/>
  <c r="V250" i="1"/>
  <c r="W250" i="1" s="1"/>
  <c r="DR250" i="1"/>
  <c r="DR257" i="1"/>
  <c r="Y257" i="1" s="1"/>
  <c r="DR260" i="1"/>
  <c r="Y260" i="1" s="1"/>
  <c r="DR290" i="1"/>
  <c r="Y290" i="1" s="1"/>
  <c r="V298" i="1"/>
  <c r="W298" i="1" s="1"/>
  <c r="DR298" i="1"/>
  <c r="Y298" i="1" s="1"/>
  <c r="Y113" i="1"/>
  <c r="Y147" i="1"/>
  <c r="Y180" i="1"/>
  <c r="Y210" i="1"/>
  <c r="Y243" i="1"/>
  <c r="Y97" i="1"/>
  <c r="Y170" i="1"/>
  <c r="Y176" i="1"/>
  <c r="Y211" i="1"/>
  <c r="Y258" i="1"/>
  <c r="Y128" i="1"/>
  <c r="Y96" i="1"/>
  <c r="Y109" i="1"/>
  <c r="Y116" i="1"/>
  <c r="Y146" i="1"/>
  <c r="Y181" i="1"/>
  <c r="Y49" i="1"/>
  <c r="Y54" i="1"/>
  <c r="Y108" i="1"/>
  <c r="Y185" i="1"/>
  <c r="Y46" i="1"/>
  <c r="Y133" i="1"/>
  <c r="Y238" i="1"/>
  <c r="CI233" i="1"/>
  <c r="R233" i="1" s="1"/>
  <c r="AB233" i="1" s="1"/>
  <c r="CI241" i="1"/>
  <c r="R241" i="1" s="1"/>
  <c r="AB241" i="1" s="1"/>
  <c r="CI219" i="1"/>
  <c r="R219" i="1" s="1"/>
  <c r="AB219" i="1" s="1"/>
  <c r="CI118" i="1"/>
  <c r="R118" i="1" s="1"/>
  <c r="AA118" i="1" s="1"/>
  <c r="AB118" i="1" s="1"/>
  <c r="CI127" i="1"/>
  <c r="R127" i="1" s="1"/>
  <c r="AA127" i="1" s="1"/>
  <c r="AB127" i="1" s="1"/>
  <c r="CI130" i="1"/>
  <c r="R130" i="1" s="1"/>
  <c r="AB130" i="1" s="1"/>
  <c r="CI133" i="1"/>
  <c r="R133" i="1" s="1"/>
  <c r="AB133" i="1" s="1"/>
  <c r="CI135" i="1"/>
  <c r="R135" i="1" s="1"/>
  <c r="AA135" i="1" s="1"/>
  <c r="AB135" i="1" s="1"/>
  <c r="CI139" i="1"/>
  <c r="R139" i="1" s="1"/>
  <c r="AA139" i="1" s="1"/>
  <c r="AB139" i="1" s="1"/>
  <c r="CI141" i="1"/>
  <c r="R141" i="1" s="1"/>
  <c r="AB141" i="1" s="1"/>
  <c r="CI147" i="1"/>
  <c r="R147" i="1" s="1"/>
  <c r="AA147" i="1" s="1"/>
  <c r="AB147" i="1" s="1"/>
  <c r="CI148" i="1"/>
  <c r="R148" i="1" s="1"/>
  <c r="AB148" i="1" s="1"/>
  <c r="CI152" i="1"/>
  <c r="R152" i="1" s="1"/>
  <c r="AA152" i="1" s="1"/>
  <c r="AB152" i="1" s="1"/>
  <c r="CI154" i="1"/>
  <c r="R154" i="1" s="1"/>
  <c r="AA154" i="1" s="1"/>
  <c r="AB154" i="1" s="1"/>
  <c r="CI156" i="1"/>
  <c r="R156" i="1" s="1"/>
  <c r="AA156" i="1" s="1"/>
  <c r="AB156" i="1" s="1"/>
  <c r="CI158" i="1"/>
  <c r="R158" i="1" s="1"/>
  <c r="AA158" i="1" s="1"/>
  <c r="AB158" i="1" s="1"/>
  <c r="CI175" i="1"/>
  <c r="R175" i="1" s="1"/>
  <c r="AB175" i="1" s="1"/>
  <c r="CI180" i="1"/>
  <c r="R180" i="1" s="1"/>
  <c r="AA180" i="1" s="1"/>
  <c r="AB180" i="1" s="1"/>
  <c r="CI183" i="1"/>
  <c r="R183" i="1" s="1"/>
  <c r="AA183" i="1" s="1"/>
  <c r="AB183" i="1" s="1"/>
  <c r="CI196" i="1"/>
  <c r="R196" i="1" s="1"/>
  <c r="AA196" i="1" s="1"/>
  <c r="AB196" i="1" s="1"/>
  <c r="CI209" i="1"/>
  <c r="R209" i="1" s="1"/>
  <c r="AB209" i="1" s="1"/>
  <c r="CI214" i="1"/>
  <c r="R214" i="1" s="1"/>
  <c r="CI11" i="1"/>
  <c r="R11" i="1" s="1"/>
  <c r="AA11" i="1" s="1"/>
  <c r="AB11" i="1" s="1"/>
  <c r="CI15" i="1"/>
  <c r="R15" i="1" s="1"/>
  <c r="AB15" i="1" s="1"/>
  <c r="CI14" i="1"/>
  <c r="R14" i="1" s="1"/>
  <c r="AB14" i="1" s="1"/>
  <c r="CI22" i="1"/>
  <c r="R22" i="1" s="1"/>
  <c r="AB22" i="1" s="1"/>
  <c r="CI33" i="1"/>
  <c r="R33" i="1" s="1"/>
  <c r="AB33" i="1" s="1"/>
  <c r="CI34" i="1"/>
  <c r="R34" i="1" s="1"/>
  <c r="AA34" i="1" s="1"/>
  <c r="AB34" i="1" s="1"/>
  <c r="CI43" i="1"/>
  <c r="R43" i="1" s="1"/>
  <c r="AA43" i="1" s="1"/>
  <c r="AB43" i="1" s="1"/>
  <c r="CI45" i="1"/>
  <c r="R45" i="1" s="1"/>
  <c r="AA45" i="1" s="1"/>
  <c r="AB45" i="1" s="1"/>
  <c r="CI47" i="1"/>
  <c r="R47" i="1" s="1"/>
  <c r="AA47" i="1" s="1"/>
  <c r="AB47" i="1" s="1"/>
  <c r="CI49" i="1"/>
  <c r="R49" i="1" s="1"/>
  <c r="AA49" i="1" s="1"/>
  <c r="AB49" i="1" s="1"/>
  <c r="CI53" i="1"/>
  <c r="R53" i="1" s="1"/>
  <c r="AA53" i="1" s="1"/>
  <c r="AB53" i="1" s="1"/>
  <c r="CI55" i="1"/>
  <c r="R55" i="1" s="1"/>
  <c r="AA55" i="1" s="1"/>
  <c r="AB55" i="1" s="1"/>
  <c r="CI58" i="1"/>
  <c r="R58" i="1" s="1"/>
  <c r="AA58" i="1" s="1"/>
  <c r="AB58" i="1" s="1"/>
  <c r="CI59" i="1"/>
  <c r="R59" i="1" s="1"/>
  <c r="AB59" i="1" s="1"/>
  <c r="CI60" i="1"/>
  <c r="R60" i="1" s="1"/>
  <c r="CI65" i="1"/>
  <c r="R65" i="1" s="1"/>
  <c r="AA65" i="1" s="1"/>
  <c r="AB65" i="1" s="1"/>
  <c r="CI217" i="1"/>
  <c r="R217" i="1" s="1"/>
  <c r="AB217" i="1" s="1"/>
  <c r="CI291" i="1"/>
  <c r="CI90" i="1"/>
  <c r="R90" i="1" s="1"/>
  <c r="AB90" i="1" s="1"/>
  <c r="CI91" i="1"/>
  <c r="R91" i="1" s="1"/>
  <c r="AB91" i="1" s="1"/>
  <c r="CI96" i="1"/>
  <c r="R96" i="1" s="1"/>
  <c r="AB96" i="1" s="1"/>
  <c r="CI105" i="1"/>
  <c r="R105" i="1" s="1"/>
  <c r="AB105" i="1" s="1"/>
  <c r="CI107" i="1"/>
  <c r="R107" i="1" s="1"/>
  <c r="AB107" i="1" s="1"/>
  <c r="CI109" i="1"/>
  <c r="R109" i="1" s="1"/>
  <c r="AA109" i="1" s="1"/>
  <c r="AB109" i="1" s="1"/>
  <c r="CI110" i="1"/>
  <c r="R110" i="1" s="1"/>
  <c r="AB110" i="1" s="1"/>
  <c r="CI111" i="1"/>
  <c r="R111" i="1" s="1"/>
  <c r="AB111" i="1" s="1"/>
  <c r="CI244" i="1"/>
  <c r="R244" i="1" s="1"/>
  <c r="AA244" i="1" s="1"/>
  <c r="AB244" i="1" s="1"/>
  <c r="CI248" i="1"/>
  <c r="R248" i="1" s="1"/>
  <c r="AB248" i="1" s="1"/>
  <c r="CI250" i="1"/>
  <c r="R250" i="1" s="1"/>
  <c r="AB250" i="1" s="1"/>
  <c r="CI251" i="1"/>
  <c r="R251" i="1" s="1"/>
  <c r="AB251" i="1" s="1"/>
  <c r="CI254" i="1"/>
  <c r="R254" i="1" s="1"/>
  <c r="AB254" i="1" s="1"/>
  <c r="CI262" i="1"/>
  <c r="R262" i="1" s="1"/>
  <c r="AA262" i="1" s="1"/>
  <c r="AB262" i="1" s="1"/>
  <c r="CI270" i="1"/>
  <c r="R270" i="1" s="1"/>
  <c r="AB270" i="1" s="1"/>
  <c r="CI82" i="1"/>
  <c r="R82" i="1" s="1"/>
  <c r="AB82" i="1" s="1"/>
  <c r="CI85" i="1"/>
  <c r="R85" i="1" s="1"/>
  <c r="AB85" i="1" s="1"/>
  <c r="CI86" i="1"/>
  <c r="R86" i="1" s="1"/>
  <c r="CI146" i="1"/>
  <c r="R146" i="1" s="1"/>
  <c r="AA146" i="1" s="1"/>
  <c r="AB146" i="1" s="1"/>
  <c r="CI225" i="1"/>
  <c r="R225" i="1" s="1"/>
  <c r="CI227" i="1"/>
  <c r="R227" i="1" s="1"/>
  <c r="AA227" i="1" s="1"/>
  <c r="AB227" i="1" s="1"/>
  <c r="CI284" i="1"/>
  <c r="R284" i="1" s="1"/>
  <c r="AB284" i="1" s="1"/>
  <c r="CI286" i="1"/>
  <c r="R286" i="1" s="1"/>
  <c r="AA286" i="1" s="1"/>
  <c r="AB286" i="1" s="1"/>
  <c r="CI288" i="1"/>
  <c r="R288" i="1" s="1"/>
  <c r="AA288" i="1" s="1"/>
  <c r="AB288" i="1" s="1"/>
  <c r="CI289" i="1"/>
  <c r="R289" i="1" s="1"/>
  <c r="AB289" i="1" s="1"/>
  <c r="CI224" i="1"/>
  <c r="R224" i="1" s="1"/>
  <c r="AA224" i="1" s="1"/>
  <c r="AB224" i="1" s="1"/>
  <c r="CI226" i="1"/>
  <c r="R226" i="1" s="1"/>
  <c r="AA226" i="1" s="1"/>
  <c r="AB226" i="1" s="1"/>
  <c r="CI229" i="1"/>
  <c r="R229" i="1" s="1"/>
  <c r="AA229" i="1" s="1"/>
  <c r="AB229" i="1" s="1"/>
  <c r="CI235" i="1"/>
  <c r="R235" i="1" s="1"/>
  <c r="AB235" i="1" s="1"/>
  <c r="CI243" i="1"/>
  <c r="R243" i="1" s="1"/>
  <c r="AA243" i="1" s="1"/>
  <c r="AB243" i="1" s="1"/>
  <c r="CI256" i="1"/>
  <c r="R256" i="1" s="1"/>
  <c r="AB256" i="1" s="1"/>
  <c r="CI261" i="1"/>
  <c r="R261" i="1" s="1"/>
  <c r="AA261" i="1" s="1"/>
  <c r="AB261" i="1" s="1"/>
  <c r="CI266" i="1"/>
  <c r="R266" i="1" s="1"/>
  <c r="AA266" i="1" s="1"/>
  <c r="AB266" i="1" s="1"/>
  <c r="CI271" i="1"/>
  <c r="R271" i="1" s="1"/>
  <c r="AA271" i="1" s="1"/>
  <c r="AB271" i="1" s="1"/>
  <c r="CI281" i="1"/>
  <c r="R281" i="1" s="1"/>
  <c r="AB281" i="1" s="1"/>
  <c r="CI282" i="1"/>
  <c r="R282" i="1" s="1"/>
  <c r="AB282" i="1" s="1"/>
  <c r="CI285" i="1"/>
  <c r="R285" i="1" s="1"/>
  <c r="AA285" i="1" s="1"/>
  <c r="AB285" i="1" s="1"/>
  <c r="CI287" i="1"/>
  <c r="R287" i="1" s="1"/>
  <c r="AA287" i="1" s="1"/>
  <c r="AB287" i="1" s="1"/>
  <c r="CI290" i="1"/>
  <c r="R290" i="1" s="1"/>
  <c r="AA290" i="1" s="1"/>
  <c r="AB290" i="1" s="1"/>
  <c r="CI296" i="1"/>
  <c r="CI299" i="1"/>
  <c r="CI21" i="1"/>
  <c r="R21" i="1" s="1"/>
  <c r="AA21" i="1" s="1"/>
  <c r="AB21" i="1" s="1"/>
  <c r="CI25" i="1"/>
  <c r="R25" i="1" s="1"/>
  <c r="AB25" i="1" s="1"/>
  <c r="CI40" i="1"/>
  <c r="R40" i="1" s="1"/>
  <c r="AA40" i="1" s="1"/>
  <c r="AB40" i="1" s="1"/>
  <c r="CI52" i="1"/>
  <c r="R52" i="1" s="1"/>
  <c r="AA52" i="1" s="1"/>
  <c r="AB52" i="1" s="1"/>
  <c r="CI61" i="1"/>
  <c r="R61" i="1" s="1"/>
  <c r="AA61" i="1" s="1"/>
  <c r="AB61" i="1" s="1"/>
  <c r="CI62" i="1"/>
  <c r="R62" i="1" s="1"/>
  <c r="AB62" i="1" s="1"/>
  <c r="CI63" i="1"/>
  <c r="R63" i="1" s="1"/>
  <c r="AA63" i="1" s="1"/>
  <c r="AB63" i="1" s="1"/>
  <c r="R78" i="1"/>
  <c r="AB78" i="1" s="1"/>
  <c r="CI79" i="1"/>
  <c r="R79" i="1" s="1"/>
  <c r="AB79" i="1" s="1"/>
  <c r="CI80" i="1"/>
  <c r="R80" i="1" s="1"/>
  <c r="AB80" i="1" s="1"/>
  <c r="CI81" i="1"/>
  <c r="R81" i="1" s="1"/>
  <c r="AB81" i="1" s="1"/>
  <c r="CI84" i="1"/>
  <c r="R84" i="1" s="1"/>
  <c r="CI93" i="1"/>
  <c r="R93" i="1" s="1"/>
  <c r="AA93" i="1" s="1"/>
  <c r="AB93" i="1" s="1"/>
  <c r="CI95" i="1"/>
  <c r="R95" i="1" s="1"/>
  <c r="AA95" i="1" s="1"/>
  <c r="AB95" i="1" s="1"/>
  <c r="CI101" i="1"/>
  <c r="R101" i="1" s="1"/>
  <c r="CI103" i="1"/>
  <c r="R103" i="1" s="1"/>
  <c r="AA103" i="1" s="1"/>
  <c r="AB103" i="1" s="1"/>
  <c r="CI104" i="1"/>
  <c r="R104" i="1" s="1"/>
  <c r="AB104" i="1" s="1"/>
  <c r="CI113" i="1"/>
  <c r="R113" i="1" s="1"/>
  <c r="CI115" i="1"/>
  <c r="R115" i="1" s="1"/>
  <c r="AA115" i="1" s="1"/>
  <c r="AB115" i="1" s="1"/>
  <c r="CI136" i="1"/>
  <c r="R136" i="1" s="1"/>
  <c r="AA136" i="1" s="1"/>
  <c r="AB136" i="1" s="1"/>
  <c r="CI143" i="1"/>
  <c r="R143" i="1" s="1"/>
  <c r="AA143" i="1" s="1"/>
  <c r="AB143" i="1" s="1"/>
  <c r="CI150" i="1"/>
  <c r="R150" i="1" s="1"/>
  <c r="AA150" i="1" s="1"/>
  <c r="AB150" i="1" s="1"/>
  <c r="CI169" i="1"/>
  <c r="R169" i="1" s="1"/>
  <c r="AB169" i="1" s="1"/>
  <c r="CI174" i="1"/>
  <c r="R174" i="1" s="1"/>
  <c r="AA174" i="1" s="1"/>
  <c r="AB174" i="1" s="1"/>
  <c r="CI177" i="1"/>
  <c r="R177" i="1" s="1"/>
  <c r="AA177" i="1" s="1"/>
  <c r="AB177" i="1" s="1"/>
  <c r="CI191" i="1"/>
  <c r="R191" i="1" s="1"/>
  <c r="AA191" i="1" s="1"/>
  <c r="AB191" i="1" s="1"/>
  <c r="CI193" i="1"/>
  <c r="R193" i="1" s="1"/>
  <c r="AA193" i="1" s="1"/>
  <c r="AB193" i="1" s="1"/>
  <c r="CI203" i="1"/>
  <c r="R203" i="1" s="1"/>
  <c r="AA203" i="1" s="1"/>
  <c r="AB203" i="1" s="1"/>
  <c r="CI213" i="1"/>
  <c r="R213" i="1" s="1"/>
  <c r="AA213" i="1" s="1"/>
  <c r="AB213" i="1" s="1"/>
  <c r="CI218" i="1"/>
  <c r="R218" i="1" s="1"/>
  <c r="AB218" i="1" s="1"/>
  <c r="CI220" i="1"/>
  <c r="R220" i="1" s="1"/>
  <c r="AA220" i="1" s="1"/>
  <c r="AB220" i="1" s="1"/>
  <c r="CI223" i="1"/>
  <c r="R223" i="1" s="1"/>
  <c r="AA223" i="1" s="1"/>
  <c r="AB223" i="1" s="1"/>
  <c r="CI228" i="1"/>
  <c r="R228" i="1" s="1"/>
  <c r="AB228" i="1" s="1"/>
  <c r="CI234" i="1"/>
  <c r="R234" i="1" s="1"/>
  <c r="AB234" i="1" s="1"/>
  <c r="CI252" i="1"/>
  <c r="R252" i="1" s="1"/>
  <c r="AB252" i="1" s="1"/>
  <c r="CI255" i="1"/>
  <c r="R255" i="1" s="1"/>
  <c r="AB255" i="1" s="1"/>
  <c r="CI258" i="1"/>
  <c r="R258" i="1" s="1"/>
  <c r="AA258" i="1" s="1"/>
  <c r="AB258" i="1" s="1"/>
  <c r="CI260" i="1"/>
  <c r="R260" i="1" s="1"/>
  <c r="AB260" i="1" s="1"/>
  <c r="CI278" i="1"/>
  <c r="R278" i="1" s="1"/>
  <c r="AA278" i="1" s="1"/>
  <c r="AB278" i="1" s="1"/>
  <c r="CI279" i="1"/>
  <c r="CI298" i="1"/>
  <c r="CI26" i="1"/>
  <c r="R26" i="1" s="1"/>
  <c r="AB26" i="1" s="1"/>
  <c r="CI29" i="1"/>
  <c r="R29" i="1" s="1"/>
  <c r="AB29" i="1" s="1"/>
  <c r="CI9" i="1"/>
  <c r="R9" i="1" s="1"/>
  <c r="AB9" i="1" s="1"/>
  <c r="CI24" i="1"/>
  <c r="R24" i="1" s="1"/>
  <c r="AB24" i="1" s="1"/>
  <c r="CI28" i="1"/>
  <c r="R28" i="1" s="1"/>
  <c r="AB28" i="1" s="1"/>
  <c r="CI35" i="1"/>
  <c r="R35" i="1" s="1"/>
  <c r="AA35" i="1" s="1"/>
  <c r="AB35" i="1" s="1"/>
  <c r="CI39" i="1"/>
  <c r="R39" i="1" s="1"/>
  <c r="AB39" i="1" s="1"/>
  <c r="CI42" i="1"/>
  <c r="R42" i="1" s="1"/>
  <c r="AB42" i="1" s="1"/>
  <c r="CI44" i="1"/>
  <c r="R44" i="1" s="1"/>
  <c r="AA44" i="1" s="1"/>
  <c r="AB44" i="1" s="1"/>
  <c r="CI46" i="1"/>
  <c r="R46" i="1" s="1"/>
  <c r="AA46" i="1" s="1"/>
  <c r="AB46" i="1" s="1"/>
  <c r="CI54" i="1"/>
  <c r="R54" i="1" s="1"/>
  <c r="AA54" i="1" s="1"/>
  <c r="AB54" i="1" s="1"/>
  <c r="CI56" i="1"/>
  <c r="R56" i="1" s="1"/>
  <c r="AA56" i="1" s="1"/>
  <c r="AB56" i="1" s="1"/>
  <c r="CI57" i="1"/>
  <c r="R57" i="1" s="1"/>
  <c r="AB57" i="1" s="1"/>
  <c r="CI64" i="1"/>
  <c r="R64" i="1" s="1"/>
  <c r="AA64" i="1" s="1"/>
  <c r="AB64" i="1" s="1"/>
  <c r="CI77" i="1"/>
  <c r="R77" i="1" s="1"/>
  <c r="AB77" i="1" s="1"/>
  <c r="CI92" i="1"/>
  <c r="R92" i="1" s="1"/>
  <c r="AA92" i="1" s="1"/>
  <c r="AB92" i="1" s="1"/>
  <c r="CI97" i="1"/>
  <c r="R97" i="1" s="1"/>
  <c r="AA97" i="1" s="1"/>
  <c r="AB97" i="1" s="1"/>
  <c r="CI106" i="1"/>
  <c r="R106" i="1" s="1"/>
  <c r="AA106" i="1" s="1"/>
  <c r="AB106" i="1" s="1"/>
  <c r="CI108" i="1"/>
  <c r="R108" i="1" s="1"/>
  <c r="AA108" i="1" s="1"/>
  <c r="AB108" i="1" s="1"/>
  <c r="CI117" i="1"/>
  <c r="R117" i="1" s="1"/>
  <c r="AB117" i="1" s="1"/>
  <c r="CI125" i="1"/>
  <c r="R125" i="1" s="1"/>
  <c r="AB125" i="1" s="1"/>
  <c r="CI126" i="1"/>
  <c r="R126" i="1" s="1"/>
  <c r="AB126" i="1" s="1"/>
  <c r="CI129" i="1"/>
  <c r="R129" i="1" s="1"/>
  <c r="AB129" i="1" s="1"/>
  <c r="CI134" i="1"/>
  <c r="R134" i="1" s="1"/>
  <c r="AA134" i="1" s="1"/>
  <c r="AB134" i="1" s="1"/>
  <c r="CI138" i="1"/>
  <c r="R138" i="1" s="1"/>
  <c r="CI140" i="1"/>
  <c r="R140" i="1" s="1"/>
  <c r="AB140" i="1" s="1"/>
  <c r="CI153" i="1"/>
  <c r="R153" i="1" s="1"/>
  <c r="AA153" i="1" s="1"/>
  <c r="AB153" i="1" s="1"/>
  <c r="CI155" i="1"/>
  <c r="R155" i="1" s="1"/>
  <c r="AA155" i="1" s="1"/>
  <c r="AB155" i="1" s="1"/>
  <c r="CI157" i="1"/>
  <c r="R157" i="1" s="1"/>
  <c r="AA157" i="1" s="1"/>
  <c r="AB157" i="1" s="1"/>
  <c r="CI159" i="1"/>
  <c r="R159" i="1" s="1"/>
  <c r="AA159" i="1" s="1"/>
  <c r="AB159" i="1" s="1"/>
  <c r="CI170" i="1"/>
  <c r="R170" i="1" s="1"/>
  <c r="AA170" i="1" s="1"/>
  <c r="AB170" i="1" s="1"/>
  <c r="CI176" i="1"/>
  <c r="R176" i="1" s="1"/>
  <c r="AA176" i="1" s="1"/>
  <c r="AB176" i="1" s="1"/>
  <c r="CI182" i="1"/>
  <c r="R182" i="1" s="1"/>
  <c r="AA182" i="1" s="1"/>
  <c r="AB182" i="1" s="1"/>
  <c r="CI185" i="1"/>
  <c r="R185" i="1" s="1"/>
  <c r="AB185" i="1" s="1"/>
  <c r="CI205" i="1"/>
  <c r="R205" i="1" s="1"/>
  <c r="AB205" i="1" s="1"/>
  <c r="CI206" i="1"/>
  <c r="R206" i="1" s="1"/>
  <c r="CI207" i="1"/>
  <c r="R207" i="1" s="1"/>
  <c r="AB207" i="1" s="1"/>
  <c r="CI210" i="1"/>
  <c r="R210" i="1" s="1"/>
  <c r="AA210" i="1" s="1"/>
  <c r="AB210" i="1" s="1"/>
  <c r="CI294" i="1"/>
  <c r="CI297" i="1"/>
  <c r="CI13" i="1"/>
  <c r="R13" i="1" s="1"/>
  <c r="AB13" i="1" s="1"/>
  <c r="CI31" i="1"/>
  <c r="R31" i="1" s="1"/>
  <c r="AA31" i="1" s="1"/>
  <c r="AB31" i="1" s="1"/>
  <c r="CI36" i="1"/>
  <c r="R36" i="1" s="1"/>
  <c r="CI37" i="1"/>
  <c r="R37" i="1" s="1"/>
  <c r="AB37" i="1" s="1"/>
  <c r="CI12" i="1"/>
  <c r="R12" i="1" s="1"/>
  <c r="AB12" i="1" s="1"/>
  <c r="CI19" i="1"/>
  <c r="R19" i="1" s="1"/>
  <c r="AB19" i="1" s="1"/>
  <c r="CI20" i="1"/>
  <c r="R20" i="1" s="1"/>
  <c r="CI23" i="1"/>
  <c r="R23" i="1" s="1"/>
  <c r="AB23" i="1" s="1"/>
  <c r="CI27" i="1"/>
  <c r="R27" i="1" s="1"/>
  <c r="AB27" i="1" s="1"/>
  <c r="CI30" i="1"/>
  <c r="R30" i="1" s="1"/>
  <c r="AA30" i="1" s="1"/>
  <c r="AB30" i="1" s="1"/>
  <c r="CI32" i="1"/>
  <c r="R32" i="1" s="1"/>
  <c r="AA32" i="1" s="1"/>
  <c r="AB32" i="1" s="1"/>
  <c r="CI38" i="1"/>
  <c r="R38" i="1" s="1"/>
  <c r="CI41" i="1"/>
  <c r="R41" i="1" s="1"/>
  <c r="AA41" i="1" s="1"/>
  <c r="AB41" i="1" s="1"/>
  <c r="CI50" i="1"/>
  <c r="R50" i="1" s="1"/>
  <c r="AB50" i="1" s="1"/>
  <c r="CI51" i="1"/>
  <c r="R51" i="1" s="1"/>
  <c r="AB51" i="1" s="1"/>
  <c r="CI69" i="1"/>
  <c r="R69" i="1" s="1"/>
  <c r="AB69" i="1" s="1"/>
  <c r="CI83" i="1"/>
  <c r="R83" i="1" s="1"/>
  <c r="CI94" i="1"/>
  <c r="R94" i="1" s="1"/>
  <c r="AA94" i="1" s="1"/>
  <c r="AB94" i="1" s="1"/>
  <c r="CI98" i="1"/>
  <c r="CI102" i="1"/>
  <c r="R102" i="1" s="1"/>
  <c r="AA102" i="1" s="1"/>
  <c r="AB102" i="1" s="1"/>
  <c r="CI112" i="1"/>
  <c r="R112" i="1" s="1"/>
  <c r="AB112" i="1" s="1"/>
  <c r="CI114" i="1"/>
  <c r="R114" i="1" s="1"/>
  <c r="AA114" i="1" s="1"/>
  <c r="AB114" i="1" s="1"/>
  <c r="CI116" i="1"/>
  <c r="R116" i="1" s="1"/>
  <c r="AA116" i="1" s="1"/>
  <c r="AB116" i="1" s="1"/>
  <c r="CI123" i="1"/>
  <c r="R123" i="1" s="1"/>
  <c r="AB123" i="1" s="1"/>
  <c r="CI128" i="1"/>
  <c r="R128" i="1" s="1"/>
  <c r="AB128" i="1" s="1"/>
  <c r="CI137" i="1"/>
  <c r="R137" i="1" s="1"/>
  <c r="AB137" i="1" s="1"/>
  <c r="CI142" i="1"/>
  <c r="R142" i="1" s="1"/>
  <c r="AB142" i="1" s="1"/>
  <c r="CI144" i="1"/>
  <c r="R144" i="1" s="1"/>
  <c r="AA144" i="1" s="1"/>
  <c r="AB144" i="1" s="1"/>
  <c r="CI145" i="1"/>
  <c r="R145" i="1" s="1"/>
  <c r="AB145" i="1" s="1"/>
  <c r="CI149" i="1"/>
  <c r="R149" i="1" s="1"/>
  <c r="AB149" i="1" s="1"/>
  <c r="CI151" i="1"/>
  <c r="R151" i="1" s="1"/>
  <c r="AA151" i="1" s="1"/>
  <c r="AB151" i="1" s="1"/>
  <c r="CI172" i="1"/>
  <c r="R172" i="1" s="1"/>
  <c r="AB172" i="1" s="1"/>
  <c r="CI173" i="1"/>
  <c r="R173" i="1" s="1"/>
  <c r="AB173" i="1" s="1"/>
  <c r="CI181" i="1"/>
  <c r="R181" i="1" s="1"/>
  <c r="AB181" i="1" s="1"/>
  <c r="CI184" i="1"/>
  <c r="R184" i="1" s="1"/>
  <c r="AB184" i="1" s="1"/>
  <c r="CI189" i="1"/>
  <c r="R189" i="1" s="1"/>
  <c r="AB189" i="1" s="1"/>
  <c r="CI190" i="1"/>
  <c r="R190" i="1" s="1"/>
  <c r="AA190" i="1" s="1"/>
  <c r="AB190" i="1" s="1"/>
  <c r="CI192" i="1"/>
  <c r="R192" i="1" s="1"/>
  <c r="AA192" i="1" s="1"/>
  <c r="AB192" i="1" s="1"/>
  <c r="CI195" i="1"/>
  <c r="R195" i="1" s="1"/>
  <c r="AB195" i="1" s="1"/>
  <c r="CI197" i="1"/>
  <c r="R197" i="1" s="1"/>
  <c r="AB197" i="1" s="1"/>
  <c r="CI202" i="1"/>
  <c r="R202" i="1" s="1"/>
  <c r="AB202" i="1" s="1"/>
  <c r="CI204" i="1"/>
  <c r="R204" i="1" s="1"/>
  <c r="AA204" i="1" s="1"/>
  <c r="AB204" i="1" s="1"/>
  <c r="CI208" i="1"/>
  <c r="R208" i="1" s="1"/>
  <c r="AB208" i="1" s="1"/>
  <c r="CI211" i="1"/>
  <c r="R211" i="1" s="1"/>
  <c r="AA211" i="1" s="1"/>
  <c r="AB211" i="1" s="1"/>
  <c r="CI215" i="1"/>
  <c r="R215" i="1" s="1"/>
  <c r="AB215" i="1" s="1"/>
  <c r="CI216" i="1"/>
  <c r="R216" i="1" s="1"/>
  <c r="AB216" i="1" s="1"/>
  <c r="CI221" i="1"/>
  <c r="R221" i="1" s="1"/>
  <c r="AA221" i="1" s="1"/>
  <c r="AB221" i="1" s="1"/>
  <c r="CI222" i="1"/>
  <c r="R222" i="1" s="1"/>
  <c r="AA222" i="1" s="1"/>
  <c r="AB222" i="1" s="1"/>
  <c r="CI232" i="1"/>
  <c r="R232" i="1" s="1"/>
  <c r="AB232" i="1" s="1"/>
  <c r="CI236" i="1"/>
  <c r="R236" i="1" s="1"/>
  <c r="AB236" i="1" s="1"/>
  <c r="CI237" i="1"/>
  <c r="R237" i="1" s="1"/>
  <c r="AB237" i="1" s="1"/>
  <c r="CI240" i="1"/>
  <c r="R240" i="1" s="1"/>
  <c r="AB240" i="1" s="1"/>
  <c r="CI247" i="1"/>
  <c r="R247" i="1" s="1"/>
  <c r="AB247" i="1" s="1"/>
  <c r="CI249" i="1"/>
  <c r="R249" i="1" s="1"/>
  <c r="AB249" i="1" s="1"/>
  <c r="CI253" i="1"/>
  <c r="R253" i="1" s="1"/>
  <c r="AA253" i="1" s="1"/>
  <c r="AB253" i="1" s="1"/>
  <c r="CI257" i="1"/>
  <c r="R257" i="1" s="1"/>
  <c r="AB257" i="1" s="1"/>
  <c r="R274" i="1"/>
  <c r="AA274" i="1" s="1"/>
  <c r="AB274" i="1" s="1"/>
  <c r="CI277" i="1"/>
  <c r="R277" i="1" s="1"/>
  <c r="AA277" i="1" s="1"/>
  <c r="AB277" i="1" s="1"/>
  <c r="CI280" i="1"/>
  <c r="R280" i="1" s="1"/>
  <c r="CI283" i="1"/>
  <c r="R283" i="1" s="1"/>
  <c r="AB283" i="1" s="1"/>
  <c r="CI292" i="1"/>
  <c r="V179" i="1"/>
  <c r="W179" i="1" s="1"/>
  <c r="BS21" i="1"/>
  <c r="P21" i="1" s="1"/>
  <c r="AP140" i="1"/>
  <c r="BS147" i="1"/>
  <c r="P147" i="1" s="1"/>
  <c r="BS226" i="1"/>
  <c r="P226" i="1" s="1"/>
  <c r="BS227" i="1"/>
  <c r="P227" i="1" s="1"/>
  <c r="BS213" i="1"/>
  <c r="P213" i="1" s="1"/>
  <c r="BS233" i="1"/>
  <c r="P233" i="1" s="1"/>
  <c r="BS202" i="1"/>
  <c r="P202" i="1" s="1"/>
  <c r="BS37" i="1"/>
  <c r="P37" i="1" s="1"/>
  <c r="BS151" i="1"/>
  <c r="P151" i="1" s="1"/>
  <c r="BS178" i="1"/>
  <c r="P178" i="1" s="1"/>
  <c r="R178" i="1"/>
  <c r="AA178" i="1" s="1"/>
  <c r="AB178" i="1" s="1"/>
  <c r="BS183" i="1"/>
  <c r="P183" i="1" s="1"/>
  <c r="BS279" i="1"/>
  <c r="P279" i="1" s="1"/>
  <c r="BS9" i="1"/>
  <c r="P9" i="1" s="1"/>
  <c r="BS150" i="1"/>
  <c r="P150" i="1" s="1"/>
  <c r="BS215" i="1"/>
  <c r="P215" i="1" s="1"/>
  <c r="BS243" i="1"/>
  <c r="P243" i="1" s="1"/>
  <c r="BS99" i="1"/>
  <c r="P99" i="1" s="1"/>
  <c r="BS92" i="1"/>
  <c r="P92" i="1" s="1"/>
  <c r="BS93" i="1"/>
  <c r="P93" i="1" s="1"/>
  <c r="CY140" i="1"/>
  <c r="BS185" i="1"/>
  <c r="P185" i="1" s="1"/>
  <c r="R187" i="1"/>
  <c r="AA187" i="1" s="1"/>
  <c r="AB187" i="1" s="1"/>
  <c r="BS208" i="1"/>
  <c r="P208" i="1" s="1"/>
  <c r="BS209" i="1"/>
  <c r="P209" i="1" s="1"/>
  <c r="BS224" i="1"/>
  <c r="P224" i="1" s="1"/>
  <c r="BS238" i="1"/>
  <c r="P238" i="1" s="1"/>
  <c r="BS257" i="1"/>
  <c r="P257" i="1" s="1"/>
  <c r="BS282" i="1"/>
  <c r="P282" i="1" s="1"/>
  <c r="BS286" i="1"/>
  <c r="P286" i="1" s="1"/>
  <c r="BS291" i="1"/>
  <c r="P291" i="1" s="1"/>
  <c r="BS13" i="1"/>
  <c r="P13" i="1" s="1"/>
  <c r="BS24" i="1"/>
  <c r="P24" i="1" s="1"/>
  <c r="BS36" i="1"/>
  <c r="P36" i="1" s="1"/>
  <c r="BS48" i="1"/>
  <c r="P48" i="1" s="1"/>
  <c r="BS85" i="1"/>
  <c r="P85" i="1" s="1"/>
  <c r="BS86" i="1"/>
  <c r="P86" i="1" s="1"/>
  <c r="BS95" i="1"/>
  <c r="P95" i="1" s="1"/>
  <c r="CY136" i="1"/>
  <c r="BS146" i="1"/>
  <c r="P146" i="1" s="1"/>
  <c r="BS148" i="1"/>
  <c r="P148" i="1" s="1"/>
  <c r="BS149" i="1"/>
  <c r="P149" i="1" s="1"/>
  <c r="BS207" i="1"/>
  <c r="P207" i="1" s="1"/>
  <c r="BS234" i="1"/>
  <c r="P234" i="1" s="1"/>
  <c r="BS255" i="1"/>
  <c r="P255" i="1" s="1"/>
  <c r="BS274" i="1"/>
  <c r="P274" i="1" s="1"/>
  <c r="BS299" i="1"/>
  <c r="P299" i="1" s="1"/>
  <c r="BS29" i="1"/>
  <c r="P29" i="1" s="1"/>
  <c r="BS91" i="1"/>
  <c r="P91" i="1" s="1"/>
  <c r="BS108" i="1"/>
  <c r="P108" i="1" s="1"/>
  <c r="AB293" i="1"/>
  <c r="BS19" i="1"/>
  <c r="P19" i="1" s="1"/>
  <c r="BS41" i="1"/>
  <c r="P41" i="1" s="1"/>
  <c r="BS44" i="1"/>
  <c r="P44" i="1" s="1"/>
  <c r="BS62" i="1"/>
  <c r="P62" i="1" s="1"/>
  <c r="BS100" i="1"/>
  <c r="P100" i="1" s="1"/>
  <c r="R100" i="1"/>
  <c r="AA100" i="1" s="1"/>
  <c r="AB100" i="1" s="1"/>
  <c r="BS109" i="1"/>
  <c r="P109" i="1" s="1"/>
  <c r="BS115" i="1"/>
  <c r="P115" i="1" s="1"/>
  <c r="BS133" i="1"/>
  <c r="P133" i="1" s="1"/>
  <c r="BS135" i="1"/>
  <c r="P135" i="1" s="1"/>
  <c r="AP136" i="1"/>
  <c r="BS144" i="1"/>
  <c r="P144" i="1" s="1"/>
  <c r="BS206" i="1"/>
  <c r="P206" i="1" s="1"/>
  <c r="BS211" i="1"/>
  <c r="P211" i="1" s="1"/>
  <c r="BS278" i="1"/>
  <c r="P278" i="1" s="1"/>
  <c r="BS11" i="1"/>
  <c r="P11" i="1" s="1"/>
  <c r="BS12" i="1"/>
  <c r="P12" i="1" s="1"/>
  <c r="BS22" i="1"/>
  <c r="P22" i="1" s="1"/>
  <c r="BS27" i="1"/>
  <c r="P27" i="1" s="1"/>
  <c r="BS28" i="1"/>
  <c r="P28" i="1" s="1"/>
  <c r="BS38" i="1"/>
  <c r="P38" i="1" s="1"/>
  <c r="BS14" i="1"/>
  <c r="P14" i="1" s="1"/>
  <c r="BS20" i="1"/>
  <c r="P20" i="1" s="1"/>
  <c r="BS25" i="1"/>
  <c r="P25" i="1" s="1"/>
  <c r="BS32" i="1"/>
  <c r="P32" i="1" s="1"/>
  <c r="BS15" i="1"/>
  <c r="P15" i="1" s="1"/>
  <c r="BS23" i="1"/>
  <c r="P23" i="1" s="1"/>
  <c r="BS46" i="1"/>
  <c r="P46" i="1" s="1"/>
  <c r="BS52" i="1"/>
  <c r="P52" i="1" s="1"/>
  <c r="BS53" i="1"/>
  <c r="P53" i="1" s="1"/>
  <c r="BS60" i="1"/>
  <c r="P60" i="1" s="1"/>
  <c r="BS61" i="1"/>
  <c r="P61" i="1" s="1"/>
  <c r="BS69" i="1"/>
  <c r="P69" i="1" s="1"/>
  <c r="BS77" i="1"/>
  <c r="P77" i="1" s="1"/>
  <c r="BS79" i="1"/>
  <c r="P79" i="1" s="1"/>
  <c r="BS104" i="1"/>
  <c r="P104" i="1" s="1"/>
  <c r="BS111" i="1"/>
  <c r="P111" i="1" s="1"/>
  <c r="BS116" i="1"/>
  <c r="P116" i="1" s="1"/>
  <c r="BS118" i="1"/>
  <c r="P118" i="1" s="1"/>
  <c r="BS123" i="1"/>
  <c r="P123" i="1" s="1"/>
  <c r="BS127" i="1"/>
  <c r="P127" i="1" s="1"/>
  <c r="CY130" i="1"/>
  <c r="BS142" i="1"/>
  <c r="P142" i="1" s="1"/>
  <c r="BS156" i="1"/>
  <c r="P156" i="1" s="1"/>
  <c r="AP170" i="1"/>
  <c r="BS176" i="1"/>
  <c r="P176" i="1" s="1"/>
  <c r="BS26" i="1"/>
  <c r="P26" i="1" s="1"/>
  <c r="BS30" i="1"/>
  <c r="P30" i="1" s="1"/>
  <c r="BS31" i="1"/>
  <c r="P31" i="1" s="1"/>
  <c r="BS33" i="1"/>
  <c r="P33" i="1" s="1"/>
  <c r="BS34" i="1"/>
  <c r="P34" i="1" s="1"/>
  <c r="BS35" i="1"/>
  <c r="P35" i="1" s="1"/>
  <c r="BS39" i="1"/>
  <c r="P39" i="1" s="1"/>
  <c r="BS43" i="1"/>
  <c r="P43" i="1" s="1"/>
  <c r="BS45" i="1"/>
  <c r="P45" i="1" s="1"/>
  <c r="BS51" i="1"/>
  <c r="P51" i="1" s="1"/>
  <c r="BS55" i="1"/>
  <c r="P55" i="1" s="1"/>
  <c r="BS56" i="1"/>
  <c r="P56" i="1" s="1"/>
  <c r="BS58" i="1"/>
  <c r="P58" i="1" s="1"/>
  <c r="BS63" i="1"/>
  <c r="P63" i="1" s="1"/>
  <c r="BS64" i="1"/>
  <c r="P64" i="1" s="1"/>
  <c r="BS84" i="1"/>
  <c r="P84" i="1" s="1"/>
  <c r="BS90" i="1"/>
  <c r="P90" i="1" s="1"/>
  <c r="BS107" i="1"/>
  <c r="P107" i="1" s="1"/>
  <c r="BS113" i="1"/>
  <c r="P113" i="1" s="1"/>
  <c r="BS173" i="1"/>
  <c r="P173" i="1" s="1"/>
  <c r="BS174" i="1"/>
  <c r="P174" i="1" s="1"/>
  <c r="R179" i="1"/>
  <c r="AA179" i="1" s="1"/>
  <c r="AB179" i="1" s="1"/>
  <c r="BS47" i="1"/>
  <c r="P47" i="1" s="1"/>
  <c r="BS49" i="1"/>
  <c r="P49" i="1" s="1"/>
  <c r="BS50" i="1"/>
  <c r="P50" i="1" s="1"/>
  <c r="BS54" i="1"/>
  <c r="P54" i="1" s="1"/>
  <c r="BS57" i="1"/>
  <c r="P57" i="1" s="1"/>
  <c r="BS59" i="1"/>
  <c r="P59" i="1" s="1"/>
  <c r="BS65" i="1"/>
  <c r="P65" i="1" s="1"/>
  <c r="BS78" i="1"/>
  <c r="P78" i="1" s="1"/>
  <c r="BS80" i="1"/>
  <c r="P80" i="1" s="1"/>
  <c r="BS81" i="1"/>
  <c r="P81" i="1" s="1"/>
  <c r="BS82" i="1"/>
  <c r="P82" i="1" s="1"/>
  <c r="BS83" i="1"/>
  <c r="P83" i="1" s="1"/>
  <c r="BS184" i="1"/>
  <c r="P184" i="1" s="1"/>
  <c r="BS187" i="1"/>
  <c r="P187" i="1" s="1"/>
  <c r="BS190" i="1"/>
  <c r="P190" i="1" s="1"/>
  <c r="BS191" i="1"/>
  <c r="P191" i="1" s="1"/>
  <c r="BS205" i="1"/>
  <c r="P205" i="1" s="1"/>
  <c r="BS94" i="1"/>
  <c r="P94" i="1" s="1"/>
  <c r="BS102" i="1"/>
  <c r="P102" i="1" s="1"/>
  <c r="BS103" i="1"/>
  <c r="P103" i="1" s="1"/>
  <c r="BS106" i="1"/>
  <c r="P106" i="1" s="1"/>
  <c r="BS110" i="1"/>
  <c r="P110" i="1" s="1"/>
  <c r="BS114" i="1"/>
  <c r="P114" i="1" s="1"/>
  <c r="BS117" i="1"/>
  <c r="P117" i="1" s="1"/>
  <c r="BS125" i="1"/>
  <c r="P125" i="1" s="1"/>
  <c r="BS126" i="1"/>
  <c r="P126" i="1" s="1"/>
  <c r="BS129" i="1"/>
  <c r="P129" i="1" s="1"/>
  <c r="BS137" i="1"/>
  <c r="P137" i="1" s="1"/>
  <c r="BS145" i="1"/>
  <c r="P145" i="1" s="1"/>
  <c r="BS153" i="1"/>
  <c r="P153" i="1" s="1"/>
  <c r="BS154" i="1"/>
  <c r="P154" i="1" s="1"/>
  <c r="BS159" i="1"/>
  <c r="P159" i="1" s="1"/>
  <c r="BS172" i="1"/>
  <c r="P172" i="1" s="1"/>
  <c r="X172" i="1" s="1"/>
  <c r="BS180" i="1"/>
  <c r="P180" i="1" s="1"/>
  <c r="BS181" i="1"/>
  <c r="P181" i="1" s="1"/>
  <c r="BS189" i="1"/>
  <c r="P189" i="1" s="1"/>
  <c r="BS192" i="1"/>
  <c r="P192" i="1" s="1"/>
  <c r="BS197" i="1"/>
  <c r="P197" i="1" s="1"/>
  <c r="BS210" i="1"/>
  <c r="P210" i="1" s="1"/>
  <c r="BS214" i="1"/>
  <c r="P214" i="1" s="1"/>
  <c r="BS221" i="1"/>
  <c r="P221" i="1" s="1"/>
  <c r="BS222" i="1"/>
  <c r="P222" i="1" s="1"/>
  <c r="BS235" i="1"/>
  <c r="P235" i="1" s="1"/>
  <c r="BS96" i="1"/>
  <c r="P96" i="1" s="1"/>
  <c r="BS97" i="1"/>
  <c r="P97" i="1" s="1"/>
  <c r="R99" i="1"/>
  <c r="AA99" i="1" s="1"/>
  <c r="AB99" i="1" s="1"/>
  <c r="BS101" i="1"/>
  <c r="P101" i="1" s="1"/>
  <c r="BS105" i="1"/>
  <c r="P105" i="1" s="1"/>
  <c r="BS112" i="1"/>
  <c r="P112" i="1" s="1"/>
  <c r="BS128" i="1"/>
  <c r="P128" i="1" s="1"/>
  <c r="BS130" i="1"/>
  <c r="BS134" i="1"/>
  <c r="P134" i="1" s="1"/>
  <c r="BS138" i="1"/>
  <c r="P138" i="1" s="1"/>
  <c r="BS139" i="1"/>
  <c r="P139" i="1" s="1"/>
  <c r="BS152" i="1"/>
  <c r="P152" i="1" s="1"/>
  <c r="BS155" i="1"/>
  <c r="P155" i="1" s="1"/>
  <c r="BS157" i="1"/>
  <c r="P157" i="1" s="1"/>
  <c r="BS158" i="1"/>
  <c r="P158" i="1" s="1"/>
  <c r="BS169" i="1"/>
  <c r="P169" i="1" s="1"/>
  <c r="BS177" i="1"/>
  <c r="P177" i="1" s="1"/>
  <c r="BS182" i="1"/>
  <c r="P182" i="1" s="1"/>
  <c r="BS195" i="1"/>
  <c r="P195" i="1" s="1"/>
  <c r="BS196" i="1"/>
  <c r="P196" i="1" s="1"/>
  <c r="BS203" i="1"/>
  <c r="P203" i="1" s="1"/>
  <c r="BS204" i="1"/>
  <c r="P204" i="1" s="1"/>
  <c r="BS218" i="1"/>
  <c r="P218" i="1" s="1"/>
  <c r="BS225" i="1"/>
  <c r="BS228" i="1"/>
  <c r="P228" i="1" s="1"/>
  <c r="BS229" i="1"/>
  <c r="P229" i="1" s="1"/>
  <c r="BS237" i="1"/>
  <c r="P237" i="1" s="1"/>
  <c r="BS241" i="1"/>
  <c r="P241" i="1" s="1"/>
  <c r="BS250" i="1"/>
  <c r="P250" i="1" s="1"/>
  <c r="BS251" i="1"/>
  <c r="P251" i="1" s="1"/>
  <c r="BS252" i="1"/>
  <c r="P252" i="1" s="1"/>
  <c r="BS253" i="1"/>
  <c r="P253" i="1" s="1"/>
  <c r="BS256" i="1"/>
  <c r="P256" i="1" s="1"/>
  <c r="BS287" i="1"/>
  <c r="P287" i="1" s="1"/>
  <c r="BS289" i="1"/>
  <c r="P289" i="1" s="1"/>
  <c r="BS292" i="1"/>
  <c r="P292" i="1" s="1"/>
  <c r="BS271" i="1"/>
  <c r="P271" i="1" s="1"/>
  <c r="BS280" i="1"/>
  <c r="P280" i="1" s="1"/>
  <c r="BS283" i="1"/>
  <c r="P283" i="1" s="1"/>
  <c r="BS285" i="1"/>
  <c r="P285" i="1" s="1"/>
  <c r="BS288" i="1"/>
  <c r="P288" i="1" s="1"/>
  <c r="BS294" i="1"/>
  <c r="P294" i="1" s="1"/>
  <c r="BS297" i="1"/>
  <c r="P297" i="1" s="1"/>
  <c r="BS216" i="1"/>
  <c r="P216" i="1" s="1"/>
  <c r="BS223" i="1"/>
  <c r="P223" i="1" s="1"/>
  <c r="BS232" i="1"/>
  <c r="P232" i="1" s="1"/>
  <c r="BS236" i="1"/>
  <c r="P236" i="1" s="1"/>
  <c r="X236" i="1" s="1"/>
  <c r="BS244" i="1"/>
  <c r="P244" i="1" s="1"/>
  <c r="BS247" i="1"/>
  <c r="P247" i="1" s="1"/>
  <c r="BS248" i="1"/>
  <c r="P248" i="1" s="1"/>
  <c r="BS249" i="1"/>
  <c r="P249" i="1" s="1"/>
  <c r="BS254" i="1"/>
  <c r="P254" i="1" s="1"/>
  <c r="BS258" i="1"/>
  <c r="P258" i="1" s="1"/>
  <c r="BS260" i="1"/>
  <c r="P260" i="1" s="1"/>
  <c r="BS261" i="1"/>
  <c r="P261" i="1" s="1"/>
  <c r="BS262" i="1"/>
  <c r="P262" i="1" s="1"/>
  <c r="BS277" i="1"/>
  <c r="P277" i="1" s="1"/>
  <c r="BS284" i="1"/>
  <c r="P284" i="1" s="1"/>
  <c r="BS290" i="1"/>
  <c r="P290" i="1" s="1"/>
  <c r="BS296" i="1"/>
  <c r="P296" i="1" s="1"/>
  <c r="BS298" i="1"/>
  <c r="P298" i="1" s="1"/>
  <c r="R238" i="1"/>
  <c r="AA238" i="1" s="1"/>
  <c r="AB238" i="1" s="1"/>
  <c r="BS240" i="1"/>
  <c r="P240" i="1" s="1"/>
  <c r="BS266" i="1"/>
  <c r="P266" i="1" s="1"/>
  <c r="P281" i="1"/>
  <c r="AC124" i="1"/>
  <c r="AJ124" i="1" s="1"/>
  <c r="D124" i="1" s="1"/>
  <c r="H124" i="1" s="1"/>
  <c r="X293" i="1"/>
  <c r="AI124" i="1"/>
  <c r="C124" i="1" s="1"/>
  <c r="G124" i="1" s="1"/>
  <c r="P194" i="1"/>
  <c r="V19" i="1"/>
  <c r="W19" i="1" s="1"/>
  <c r="V23" i="1"/>
  <c r="W23" i="1" s="1"/>
  <c r="V27" i="1"/>
  <c r="W27" i="1" s="1"/>
  <c r="BS42" i="1"/>
  <c r="P42" i="1" s="1"/>
  <c r="V25" i="1"/>
  <c r="W25" i="1" s="1"/>
  <c r="BS40" i="1"/>
  <c r="P40" i="1" s="1"/>
  <c r="V83" i="1"/>
  <c r="W83" i="1" s="1"/>
  <c r="BS98" i="1"/>
  <c r="P98" i="1" s="1"/>
  <c r="V107" i="1"/>
  <c r="W107" i="1" s="1"/>
  <c r="V125" i="1"/>
  <c r="W125" i="1" s="1"/>
  <c r="V112" i="1"/>
  <c r="W112" i="1" s="1"/>
  <c r="BS141" i="1"/>
  <c r="P141" i="1" s="1"/>
  <c r="BS143" i="1"/>
  <c r="P143" i="1" s="1"/>
  <c r="V149" i="1"/>
  <c r="W149" i="1" s="1"/>
  <c r="BS175" i="1"/>
  <c r="P175" i="1" s="1"/>
  <c r="P179" i="1"/>
  <c r="BS193" i="1"/>
  <c r="P193" i="1" s="1"/>
  <c r="V189" i="1"/>
  <c r="W189" i="1" s="1"/>
  <c r="R194" i="1"/>
  <c r="AA194" i="1" s="1"/>
  <c r="AB194" i="1" s="1"/>
  <c r="V214" i="1"/>
  <c r="W214" i="1" s="1"/>
  <c r="BS217" i="1"/>
  <c r="P217" i="1" s="1"/>
  <c r="BS219" i="1"/>
  <c r="P219" i="1" s="1"/>
  <c r="V216" i="1"/>
  <c r="W216" i="1" s="1"/>
  <c r="BS220" i="1"/>
  <c r="P220" i="1" s="1"/>
  <c r="V232" i="1"/>
  <c r="W232" i="1" s="1"/>
  <c r="V235" i="1"/>
  <c r="W235" i="1" s="1"/>
  <c r="V228" i="1"/>
  <c r="W228" i="1" s="1"/>
  <c r="V241" i="1"/>
  <c r="W241" i="1" s="1"/>
  <c r="V249" i="1"/>
  <c r="W249" i="1" s="1"/>
  <c r="V255" i="1"/>
  <c r="W255" i="1" s="1"/>
  <c r="V257" i="1"/>
  <c r="W257" i="1" s="1"/>
  <c r="BS270" i="1"/>
  <c r="P270" i="1" s="1"/>
  <c r="V283" i="1"/>
  <c r="W283" i="1" s="1"/>
  <c r="AA297" i="1" l="1"/>
  <c r="AB297" i="1" s="1"/>
  <c r="R297" i="1"/>
  <c r="R298" i="1"/>
  <c r="AB298" i="1" s="1"/>
  <c r="AA294" i="1"/>
  <c r="AB294" i="1" s="1"/>
  <c r="R294" i="1"/>
  <c r="AB299" i="1"/>
  <c r="R299" i="1"/>
  <c r="AB296" i="1"/>
  <c r="R296" i="1"/>
  <c r="AB291" i="1"/>
  <c r="R291" i="1"/>
  <c r="D188" i="1"/>
  <c r="H188" i="1" s="1"/>
  <c r="C188" i="1"/>
  <c r="G188" i="1" s="1"/>
  <c r="AA292" i="1"/>
  <c r="AB292" i="1" s="1"/>
  <c r="R292" i="1"/>
  <c r="C295" i="1"/>
  <c r="G295" i="1" s="1"/>
  <c r="D295" i="1"/>
  <c r="H295" i="1" s="1"/>
  <c r="C66" i="1"/>
  <c r="G66" i="1" s="1"/>
  <c r="D66" i="1"/>
  <c r="H66" i="1" s="1"/>
  <c r="AG217" i="1"/>
  <c r="X217" i="1"/>
  <c r="Z217" i="1" s="1"/>
  <c r="AG232" i="1"/>
  <c r="X232" i="1"/>
  <c r="Z232" i="1" s="1"/>
  <c r="AG251" i="1"/>
  <c r="X251" i="1"/>
  <c r="Z251" i="1" s="1"/>
  <c r="AG157" i="1"/>
  <c r="X157" i="1"/>
  <c r="Z157" i="1" s="1"/>
  <c r="AG184" i="1"/>
  <c r="X184" i="1"/>
  <c r="Z184" i="1" s="1"/>
  <c r="AG113" i="1"/>
  <c r="X113" i="1"/>
  <c r="Z113" i="1" s="1"/>
  <c r="AG31" i="1"/>
  <c r="X31" i="1"/>
  <c r="Z31" i="1" s="1"/>
  <c r="BS170" i="1"/>
  <c r="P170" i="1" s="1"/>
  <c r="X170" i="1" s="1"/>
  <c r="AG53" i="1"/>
  <c r="X53" i="1"/>
  <c r="Z53" i="1" s="1"/>
  <c r="AG211" i="1"/>
  <c r="X211" i="1"/>
  <c r="AG91" i="1"/>
  <c r="X91" i="1"/>
  <c r="Z91" i="1" s="1"/>
  <c r="AG24" i="1"/>
  <c r="X24" i="1"/>
  <c r="AG243" i="1"/>
  <c r="X243" i="1"/>
  <c r="Z243" i="1" s="1"/>
  <c r="C73" i="1"/>
  <c r="G73" i="1" s="1"/>
  <c r="AG284" i="1"/>
  <c r="X284" i="1"/>
  <c r="Z284" i="1" s="1"/>
  <c r="AG294" i="1"/>
  <c r="X294" i="1"/>
  <c r="Z294" i="1" s="1"/>
  <c r="AG229" i="1"/>
  <c r="X229" i="1"/>
  <c r="Z229" i="1" s="1"/>
  <c r="AG138" i="1"/>
  <c r="X138" i="1"/>
  <c r="AG221" i="1"/>
  <c r="X221" i="1"/>
  <c r="AG125" i="1"/>
  <c r="X125" i="1"/>
  <c r="Z125" i="1" s="1"/>
  <c r="AG80" i="1"/>
  <c r="X80" i="1"/>
  <c r="Z80" i="1" s="1"/>
  <c r="AG64" i="1"/>
  <c r="X64" i="1"/>
  <c r="AG127" i="1"/>
  <c r="X127" i="1"/>
  <c r="Z127" i="1" s="1"/>
  <c r="AG15" i="1"/>
  <c r="X15" i="1"/>
  <c r="Z15" i="1" s="1"/>
  <c r="AG135" i="1"/>
  <c r="X135" i="1"/>
  <c r="AG255" i="1"/>
  <c r="X255" i="1"/>
  <c r="Z255" i="1" s="1"/>
  <c r="AG282" i="1"/>
  <c r="X282" i="1"/>
  <c r="Z282" i="1" s="1"/>
  <c r="AG279" i="1"/>
  <c r="X279" i="1"/>
  <c r="Z279" i="1" s="1"/>
  <c r="BS140" i="1"/>
  <c r="AG179" i="1"/>
  <c r="X179" i="1"/>
  <c r="AG98" i="1"/>
  <c r="X98" i="1"/>
  <c r="AG194" i="1"/>
  <c r="X194" i="1"/>
  <c r="Z194" i="1" s="1"/>
  <c r="AG258" i="1"/>
  <c r="X258" i="1"/>
  <c r="AG223" i="1"/>
  <c r="X223" i="1"/>
  <c r="Z223" i="1" s="1"/>
  <c r="AG250" i="1"/>
  <c r="X250" i="1"/>
  <c r="AG203" i="1"/>
  <c r="X203" i="1"/>
  <c r="Z203" i="1" s="1"/>
  <c r="AG105" i="1"/>
  <c r="X105" i="1"/>
  <c r="AG189" i="1"/>
  <c r="X189" i="1"/>
  <c r="AG117" i="1"/>
  <c r="X117" i="1"/>
  <c r="AG83" i="1"/>
  <c r="X83" i="1"/>
  <c r="Z83" i="1" s="1"/>
  <c r="AG63" i="1"/>
  <c r="X63" i="1"/>
  <c r="AG51" i="1"/>
  <c r="X51" i="1"/>
  <c r="Z51" i="1" s="1"/>
  <c r="AG35" i="1"/>
  <c r="X35" i="1"/>
  <c r="AG30" i="1"/>
  <c r="X30" i="1"/>
  <c r="AG123" i="1"/>
  <c r="X123" i="1"/>
  <c r="AG52" i="1"/>
  <c r="X52" i="1"/>
  <c r="Z52" i="1" s="1"/>
  <c r="AG32" i="1"/>
  <c r="X32" i="1"/>
  <c r="AG38" i="1"/>
  <c r="X38" i="1"/>
  <c r="Z38" i="1" s="1"/>
  <c r="AG12" i="1"/>
  <c r="X12" i="1"/>
  <c r="AG206" i="1"/>
  <c r="X206" i="1"/>
  <c r="Z206" i="1" s="1"/>
  <c r="AG133" i="1"/>
  <c r="X133" i="1"/>
  <c r="AG100" i="1"/>
  <c r="X100" i="1"/>
  <c r="Z100" i="1" s="1"/>
  <c r="AG19" i="1"/>
  <c r="X19" i="1"/>
  <c r="AG29" i="1"/>
  <c r="X29" i="1"/>
  <c r="Z29" i="1" s="1"/>
  <c r="AG234" i="1"/>
  <c r="X234" i="1"/>
  <c r="AG146" i="1"/>
  <c r="X146" i="1"/>
  <c r="Z146" i="1" s="1"/>
  <c r="AG85" i="1"/>
  <c r="X85" i="1"/>
  <c r="AG13" i="1"/>
  <c r="X13" i="1"/>
  <c r="AG257" i="1"/>
  <c r="X257" i="1"/>
  <c r="AG208" i="1"/>
  <c r="X208" i="1"/>
  <c r="AG93" i="1"/>
  <c r="X93" i="1"/>
  <c r="AG215" i="1"/>
  <c r="X215" i="1"/>
  <c r="AG183" i="1"/>
  <c r="X183" i="1"/>
  <c r="AG37" i="1"/>
  <c r="X37" i="1"/>
  <c r="Z37" i="1" s="1"/>
  <c r="AG227" i="1"/>
  <c r="X227" i="1"/>
  <c r="AG21" i="1"/>
  <c r="X21" i="1"/>
  <c r="Z21" i="1" s="1"/>
  <c r="C119" i="1"/>
  <c r="G119" i="1" s="1"/>
  <c r="C16" i="1"/>
  <c r="AG193" i="1"/>
  <c r="X193" i="1"/>
  <c r="Z193" i="1" s="1"/>
  <c r="AG260" i="1"/>
  <c r="X260" i="1"/>
  <c r="AG280" i="1"/>
  <c r="X280" i="1"/>
  <c r="Z280" i="1" s="1"/>
  <c r="AG182" i="1"/>
  <c r="X182" i="1"/>
  <c r="AG97" i="1"/>
  <c r="X97" i="1"/>
  <c r="Z97" i="1" s="1"/>
  <c r="AG145" i="1"/>
  <c r="X145" i="1"/>
  <c r="AG205" i="1"/>
  <c r="X205" i="1"/>
  <c r="Z205" i="1" s="1"/>
  <c r="AG47" i="1"/>
  <c r="X47" i="1"/>
  <c r="AG39" i="1"/>
  <c r="X39" i="1"/>
  <c r="Z39" i="1" s="1"/>
  <c r="AG69" i="1"/>
  <c r="X69" i="1"/>
  <c r="AG22" i="1"/>
  <c r="X22" i="1"/>
  <c r="Z22" i="1" s="1"/>
  <c r="AG41" i="1"/>
  <c r="X41" i="1"/>
  <c r="AG86" i="1"/>
  <c r="X86" i="1"/>
  <c r="Z86" i="1" s="1"/>
  <c r="AG213" i="1"/>
  <c r="X213" i="1"/>
  <c r="Z213" i="1" s="1"/>
  <c r="D171" i="1"/>
  <c r="H171" i="1" s="1"/>
  <c r="C273" i="1"/>
  <c r="G273" i="1" s="1"/>
  <c r="C68" i="1"/>
  <c r="G68" i="1" s="1"/>
  <c r="AG270" i="1"/>
  <c r="X270" i="1"/>
  <c r="Z270" i="1" s="1"/>
  <c r="AG141" i="1"/>
  <c r="X141" i="1"/>
  <c r="AG298" i="1"/>
  <c r="X298" i="1"/>
  <c r="Z298" i="1" s="1"/>
  <c r="AG247" i="1"/>
  <c r="X247" i="1"/>
  <c r="AG271" i="1"/>
  <c r="X271" i="1"/>
  <c r="Z271" i="1" s="1"/>
  <c r="AG228" i="1"/>
  <c r="X228" i="1"/>
  <c r="AG155" i="1"/>
  <c r="X155" i="1"/>
  <c r="Z155" i="1" s="1"/>
  <c r="AG96" i="1"/>
  <c r="X96" i="1"/>
  <c r="AG137" i="1"/>
  <c r="X137" i="1"/>
  <c r="Z137" i="1" s="1"/>
  <c r="AG103" i="1"/>
  <c r="X103" i="1"/>
  <c r="AG54" i="1"/>
  <c r="X54" i="1"/>
  <c r="Z54" i="1" s="1"/>
  <c r="AG156" i="1"/>
  <c r="X156" i="1"/>
  <c r="AG175" i="1"/>
  <c r="X175" i="1"/>
  <c r="Z175" i="1" s="1"/>
  <c r="AG266" i="1"/>
  <c r="X266" i="1"/>
  <c r="AG262" i="1"/>
  <c r="X262" i="1"/>
  <c r="Z262" i="1" s="1"/>
  <c r="AG254" i="1"/>
  <c r="X254" i="1"/>
  <c r="AG216" i="1"/>
  <c r="X216" i="1"/>
  <c r="Z216" i="1" s="1"/>
  <c r="AG285" i="1"/>
  <c r="X285" i="1"/>
  <c r="AG292" i="1"/>
  <c r="X292" i="1"/>
  <c r="Z292" i="1" s="1"/>
  <c r="AG253" i="1"/>
  <c r="X253" i="1"/>
  <c r="AG241" i="1"/>
  <c r="X241" i="1"/>
  <c r="Z241" i="1" s="1"/>
  <c r="AG196" i="1"/>
  <c r="X196" i="1"/>
  <c r="AG169" i="1"/>
  <c r="X169" i="1"/>
  <c r="AG152" i="1"/>
  <c r="X152" i="1"/>
  <c r="AG101" i="1"/>
  <c r="X101" i="1"/>
  <c r="Z101" i="1" s="1"/>
  <c r="AG235" i="1"/>
  <c r="X235" i="1"/>
  <c r="AG210" i="1"/>
  <c r="X210" i="1"/>
  <c r="Z210" i="1" s="1"/>
  <c r="AG181" i="1"/>
  <c r="X181" i="1"/>
  <c r="AG154" i="1"/>
  <c r="X154" i="1"/>
  <c r="Z154" i="1" s="1"/>
  <c r="AG129" i="1"/>
  <c r="X129" i="1"/>
  <c r="AG114" i="1"/>
  <c r="X114" i="1"/>
  <c r="Z114" i="1" s="1"/>
  <c r="AG102" i="1"/>
  <c r="X102" i="1"/>
  <c r="AG190" i="1"/>
  <c r="X190" i="1"/>
  <c r="AG82" i="1"/>
  <c r="X82" i="1"/>
  <c r="AG65" i="1"/>
  <c r="X65" i="1"/>
  <c r="Z65" i="1" s="1"/>
  <c r="AG50" i="1"/>
  <c r="X50" i="1"/>
  <c r="AG174" i="1"/>
  <c r="X174" i="1"/>
  <c r="Z174" i="1" s="1"/>
  <c r="AG90" i="1"/>
  <c r="X90" i="1"/>
  <c r="AG58" i="1"/>
  <c r="X58" i="1"/>
  <c r="Z58" i="1" s="1"/>
  <c r="AG45" i="1"/>
  <c r="X45" i="1"/>
  <c r="AG34" i="1"/>
  <c r="X34" i="1"/>
  <c r="Z34" i="1" s="1"/>
  <c r="AG26" i="1"/>
  <c r="X26" i="1"/>
  <c r="AG142" i="1"/>
  <c r="X142" i="1"/>
  <c r="Z142" i="1" s="1"/>
  <c r="AG118" i="1"/>
  <c r="X118" i="1"/>
  <c r="AG79" i="1"/>
  <c r="X79" i="1"/>
  <c r="Z79" i="1" s="1"/>
  <c r="AG61" i="1"/>
  <c r="X61" i="1"/>
  <c r="AG46" i="1"/>
  <c r="X46" i="1"/>
  <c r="Z46" i="1" s="1"/>
  <c r="AG25" i="1"/>
  <c r="X25" i="1"/>
  <c r="AG28" i="1"/>
  <c r="X28" i="1"/>
  <c r="AG11" i="1"/>
  <c r="X11" i="1"/>
  <c r="AG144" i="1"/>
  <c r="X144" i="1"/>
  <c r="AG115" i="1"/>
  <c r="X115" i="1"/>
  <c r="AG62" i="1"/>
  <c r="X62" i="1"/>
  <c r="AG299" i="1"/>
  <c r="X299" i="1"/>
  <c r="AG207" i="1"/>
  <c r="X207" i="1"/>
  <c r="Z207" i="1" s="1"/>
  <c r="AG48" i="1"/>
  <c r="X48" i="1"/>
  <c r="AG291" i="1"/>
  <c r="X291" i="1"/>
  <c r="Z291" i="1" s="1"/>
  <c r="AG238" i="1"/>
  <c r="X238" i="1"/>
  <c r="AG92" i="1"/>
  <c r="X92" i="1"/>
  <c r="AG150" i="1"/>
  <c r="X150" i="1"/>
  <c r="AG202" i="1"/>
  <c r="X202" i="1"/>
  <c r="Z202" i="1" s="1"/>
  <c r="AG226" i="1"/>
  <c r="X226" i="1"/>
  <c r="D259" i="1"/>
  <c r="H259" i="1" s="1"/>
  <c r="C268" i="1"/>
  <c r="G268" i="1" s="1"/>
  <c r="D242" i="1"/>
  <c r="H242" i="1" s="1"/>
  <c r="D131" i="1"/>
  <c r="H131" i="1" s="1"/>
  <c r="D230" i="1"/>
  <c r="H230" i="1" s="1"/>
  <c r="C67" i="1"/>
  <c r="AG143" i="1"/>
  <c r="X143" i="1"/>
  <c r="AG248" i="1"/>
  <c r="X248" i="1"/>
  <c r="Z248" i="1" s="1"/>
  <c r="AG287" i="1"/>
  <c r="X287" i="1"/>
  <c r="AG204" i="1"/>
  <c r="X204" i="1"/>
  <c r="Z204" i="1" s="1"/>
  <c r="AG112" i="1"/>
  <c r="X112" i="1"/>
  <c r="AG192" i="1"/>
  <c r="X192" i="1"/>
  <c r="Z192" i="1" s="1"/>
  <c r="AG106" i="1"/>
  <c r="X106" i="1"/>
  <c r="AG57" i="1"/>
  <c r="X57" i="1"/>
  <c r="Z57" i="1" s="1"/>
  <c r="AG55" i="1"/>
  <c r="X55" i="1"/>
  <c r="AG111" i="1"/>
  <c r="X111" i="1"/>
  <c r="Z111" i="1" s="1"/>
  <c r="AG14" i="1"/>
  <c r="X14" i="1"/>
  <c r="AG148" i="1"/>
  <c r="X148" i="1"/>
  <c r="Z148" i="1" s="1"/>
  <c r="AG209" i="1"/>
  <c r="X209" i="1"/>
  <c r="AG151" i="1"/>
  <c r="X151" i="1"/>
  <c r="C18" i="1"/>
  <c r="AG220" i="1"/>
  <c r="X220" i="1"/>
  <c r="Z220" i="1" s="1"/>
  <c r="AG42" i="1"/>
  <c r="X42" i="1"/>
  <c r="Z42" i="1" s="1"/>
  <c r="AG281" i="1"/>
  <c r="X281" i="1"/>
  <c r="Z281" i="1" s="1"/>
  <c r="AG277" i="1"/>
  <c r="X277" i="1"/>
  <c r="Z277" i="1" s="1"/>
  <c r="AG288" i="1"/>
  <c r="X288" i="1"/>
  <c r="Z288" i="1" s="1"/>
  <c r="AG256" i="1"/>
  <c r="X256" i="1"/>
  <c r="AG177" i="1"/>
  <c r="X177" i="1"/>
  <c r="AG134" i="1"/>
  <c r="X134" i="1"/>
  <c r="Z134" i="1" s="1"/>
  <c r="AG214" i="1"/>
  <c r="X214" i="1"/>
  <c r="Z214" i="1" s="1"/>
  <c r="AG159" i="1"/>
  <c r="X159" i="1"/>
  <c r="AG191" i="1"/>
  <c r="X191" i="1"/>
  <c r="Z191" i="1" s="1"/>
  <c r="AG78" i="1"/>
  <c r="X78" i="1"/>
  <c r="Z78" i="1" s="1"/>
  <c r="AG107" i="1"/>
  <c r="X107" i="1"/>
  <c r="Z107" i="1" s="1"/>
  <c r="AG104" i="1"/>
  <c r="X104" i="1"/>
  <c r="Z104" i="1" s="1"/>
  <c r="AG296" i="1"/>
  <c r="X296" i="1"/>
  <c r="Z296" i="1" s="1"/>
  <c r="AG244" i="1"/>
  <c r="X244" i="1"/>
  <c r="Z244" i="1" s="1"/>
  <c r="AG219" i="1"/>
  <c r="X219" i="1"/>
  <c r="Z219" i="1" s="1"/>
  <c r="AG40" i="1"/>
  <c r="X40" i="1"/>
  <c r="Z40" i="1" s="1"/>
  <c r="AG240" i="1"/>
  <c r="X240" i="1"/>
  <c r="AG290" i="1"/>
  <c r="X290" i="1"/>
  <c r="Z290" i="1" s="1"/>
  <c r="AG261" i="1"/>
  <c r="X261" i="1"/>
  <c r="Z261" i="1" s="1"/>
  <c r="AG249" i="1"/>
  <c r="X249" i="1"/>
  <c r="Z249" i="1" s="1"/>
  <c r="AG297" i="1"/>
  <c r="X297" i="1"/>
  <c r="Z297" i="1" s="1"/>
  <c r="AG283" i="1"/>
  <c r="X283" i="1"/>
  <c r="Z283" i="1" s="1"/>
  <c r="AG289" i="1"/>
  <c r="X289" i="1"/>
  <c r="Z289" i="1" s="1"/>
  <c r="AG252" i="1"/>
  <c r="X252" i="1"/>
  <c r="Z252" i="1" s="1"/>
  <c r="AG237" i="1"/>
  <c r="X237" i="1"/>
  <c r="Z237" i="1" s="1"/>
  <c r="AG218" i="1"/>
  <c r="X218" i="1"/>
  <c r="Z218" i="1" s="1"/>
  <c r="AG195" i="1"/>
  <c r="X195" i="1"/>
  <c r="Z195" i="1" s="1"/>
  <c r="AG158" i="1"/>
  <c r="X158" i="1"/>
  <c r="Z158" i="1" s="1"/>
  <c r="AG139" i="1"/>
  <c r="X139" i="1"/>
  <c r="Z139" i="1" s="1"/>
  <c r="AG128" i="1"/>
  <c r="X128" i="1"/>
  <c r="Z128" i="1" s="1"/>
  <c r="AG222" i="1"/>
  <c r="X222" i="1"/>
  <c r="Z222" i="1" s="1"/>
  <c r="AG197" i="1"/>
  <c r="X197" i="1"/>
  <c r="Z197" i="1" s="1"/>
  <c r="AG180" i="1"/>
  <c r="X180" i="1"/>
  <c r="Z180" i="1" s="1"/>
  <c r="AG153" i="1"/>
  <c r="X153" i="1"/>
  <c r="Z153" i="1" s="1"/>
  <c r="AG126" i="1"/>
  <c r="X126" i="1"/>
  <c r="Z126" i="1" s="1"/>
  <c r="AG110" i="1"/>
  <c r="X110" i="1"/>
  <c r="Z110" i="1" s="1"/>
  <c r="AG94" i="1"/>
  <c r="X94" i="1"/>
  <c r="Z94" i="1" s="1"/>
  <c r="AG187" i="1"/>
  <c r="X187" i="1"/>
  <c r="Z187" i="1" s="1"/>
  <c r="AG81" i="1"/>
  <c r="X81" i="1"/>
  <c r="Z81" i="1" s="1"/>
  <c r="AG59" i="1"/>
  <c r="X59" i="1"/>
  <c r="Z59" i="1" s="1"/>
  <c r="AG49" i="1"/>
  <c r="X49" i="1"/>
  <c r="Z49" i="1" s="1"/>
  <c r="AG173" i="1"/>
  <c r="X173" i="1"/>
  <c r="AG84" i="1"/>
  <c r="X84" i="1"/>
  <c r="Z84" i="1" s="1"/>
  <c r="AG56" i="1"/>
  <c r="X56" i="1"/>
  <c r="Z56" i="1" s="1"/>
  <c r="AG43" i="1"/>
  <c r="X43" i="1"/>
  <c r="AG33" i="1"/>
  <c r="X33" i="1"/>
  <c r="AG176" i="1"/>
  <c r="X176" i="1"/>
  <c r="Z176" i="1" s="1"/>
  <c r="AG116" i="1"/>
  <c r="X116" i="1"/>
  <c r="Z116" i="1" s="1"/>
  <c r="AG77" i="1"/>
  <c r="X77" i="1"/>
  <c r="Z77" i="1" s="1"/>
  <c r="AG60" i="1"/>
  <c r="X60" i="1"/>
  <c r="Z60" i="1" s="1"/>
  <c r="AG23" i="1"/>
  <c r="X23" i="1"/>
  <c r="Z23" i="1" s="1"/>
  <c r="AG20" i="1"/>
  <c r="X20" i="1"/>
  <c r="Z20" i="1" s="1"/>
  <c r="X27" i="1"/>
  <c r="Z27" i="1" s="1"/>
  <c r="AG278" i="1"/>
  <c r="X278" i="1"/>
  <c r="Z278" i="1" s="1"/>
  <c r="BS136" i="1"/>
  <c r="P136" i="1" s="1"/>
  <c r="X136" i="1" s="1"/>
  <c r="AG109" i="1"/>
  <c r="X109" i="1"/>
  <c r="Z109" i="1" s="1"/>
  <c r="AG44" i="1"/>
  <c r="X44" i="1"/>
  <c r="Z44" i="1" s="1"/>
  <c r="AG108" i="1"/>
  <c r="X108" i="1"/>
  <c r="Z108" i="1" s="1"/>
  <c r="AG274" i="1"/>
  <c r="X274" i="1"/>
  <c r="Z274" i="1" s="1"/>
  <c r="AG149" i="1"/>
  <c r="X149" i="1"/>
  <c r="Z149" i="1" s="1"/>
  <c r="AG95" i="1"/>
  <c r="X95" i="1"/>
  <c r="Z95" i="1" s="1"/>
  <c r="AG36" i="1"/>
  <c r="X36" i="1"/>
  <c r="AG286" i="1"/>
  <c r="X286" i="1"/>
  <c r="Z286" i="1" s="1"/>
  <c r="AG224" i="1"/>
  <c r="X224" i="1"/>
  <c r="Z224" i="1" s="1"/>
  <c r="AG185" i="1"/>
  <c r="X185" i="1"/>
  <c r="Z185" i="1" s="1"/>
  <c r="AG99" i="1"/>
  <c r="X99" i="1"/>
  <c r="Z99" i="1" s="1"/>
  <c r="AG9" i="1"/>
  <c r="X9" i="1"/>
  <c r="AG178" i="1"/>
  <c r="X178" i="1"/>
  <c r="Z178" i="1" s="1"/>
  <c r="AG233" i="1"/>
  <c r="X233" i="1"/>
  <c r="Z233" i="1" s="1"/>
  <c r="AG147" i="1"/>
  <c r="X147" i="1"/>
  <c r="Z147" i="1" s="1"/>
  <c r="D263" i="1"/>
  <c r="H263" i="1" s="1"/>
  <c r="D267" i="1"/>
  <c r="H267" i="1" s="1"/>
  <c r="C164" i="1"/>
  <c r="C89" i="1"/>
  <c r="G89" i="1" s="1"/>
  <c r="C246" i="1"/>
  <c r="G246" i="1" s="1"/>
  <c r="D246" i="1"/>
  <c r="H246" i="1" s="1"/>
  <c r="C245" i="1"/>
  <c r="D245" i="1"/>
  <c r="D168" i="1"/>
  <c r="H168" i="1" s="1"/>
  <c r="C168" i="1"/>
  <c r="G168" i="1" s="1"/>
  <c r="C165" i="1"/>
  <c r="D165" i="1"/>
  <c r="D89" i="1"/>
  <c r="H89" i="1" s="1"/>
  <c r="D166" i="1"/>
  <c r="H166" i="1" s="1"/>
  <c r="C166" i="1"/>
  <c r="G166" i="1" s="1"/>
  <c r="D16" i="1"/>
  <c r="D17" i="1"/>
  <c r="H17" i="1" s="1"/>
  <c r="C17" i="1"/>
  <c r="G17" i="1" s="1"/>
  <c r="D164" i="1"/>
  <c r="D67" i="1"/>
  <c r="C87" i="1"/>
  <c r="D87" i="1"/>
  <c r="D18" i="1"/>
  <c r="D76" i="1"/>
  <c r="C76" i="1"/>
  <c r="C163" i="1"/>
  <c r="G163" i="1" s="1"/>
  <c r="D163" i="1"/>
  <c r="H163" i="1" s="1"/>
  <c r="C231" i="1"/>
  <c r="G231" i="1" s="1"/>
  <c r="D231" i="1"/>
  <c r="H231" i="1" s="1"/>
  <c r="C161" i="1"/>
  <c r="G161" i="1" s="1"/>
  <c r="D161" i="1"/>
  <c r="H161" i="1" s="1"/>
  <c r="Y13" i="1"/>
  <c r="Y179" i="1"/>
  <c r="Y196" i="1"/>
  <c r="DM229" i="1"/>
  <c r="DM56" i="1"/>
  <c r="DM103" i="1"/>
  <c r="Y173" i="1"/>
  <c r="DM260" i="1"/>
  <c r="DM187" i="1"/>
  <c r="DM155" i="1"/>
  <c r="DM35" i="1"/>
  <c r="DM294" i="1"/>
  <c r="DM226" i="1"/>
  <c r="DM208" i="1"/>
  <c r="DM148" i="1"/>
  <c r="DM96" i="1"/>
  <c r="DM84" i="1"/>
  <c r="DM40" i="1"/>
  <c r="DM31" i="1"/>
  <c r="DM151" i="1"/>
  <c r="DM174" i="1"/>
  <c r="DM298" i="1"/>
  <c r="DM64" i="1"/>
  <c r="DM41" i="1"/>
  <c r="DM288" i="1"/>
  <c r="DM224" i="1"/>
  <c r="DM109" i="1"/>
  <c r="DM221" i="1"/>
  <c r="DM47" i="1"/>
  <c r="DM99" i="1"/>
  <c r="DM79" i="1"/>
  <c r="DM256" i="1"/>
  <c r="DM135" i="1"/>
  <c r="DM209" i="1"/>
  <c r="DM12" i="1"/>
  <c r="DM21" i="1"/>
  <c r="DM108" i="1"/>
  <c r="DM43" i="1"/>
  <c r="DM286" i="1"/>
  <c r="DM253" i="1"/>
  <c r="DM44" i="1"/>
  <c r="DM299" i="1"/>
  <c r="DM154" i="1"/>
  <c r="DM144" i="1"/>
  <c r="DM63" i="1"/>
  <c r="Y64" i="1"/>
  <c r="DM30" i="1"/>
  <c r="DM217" i="1"/>
  <c r="DM159" i="1"/>
  <c r="DM150" i="1"/>
  <c r="DM102" i="1"/>
  <c r="DM11" i="1"/>
  <c r="DM123" i="1"/>
  <c r="DM222" i="1"/>
  <c r="DM142" i="1"/>
  <c r="DM114" i="1"/>
  <c r="DM55" i="1"/>
  <c r="DM33" i="1"/>
  <c r="DM32" i="1"/>
  <c r="DM270" i="1"/>
  <c r="DM192" i="1"/>
  <c r="DM152" i="1"/>
  <c r="DM138" i="1"/>
  <c r="DM36" i="1"/>
  <c r="DM287" i="1"/>
  <c r="DM210" i="1"/>
  <c r="DM61" i="1"/>
  <c r="AG27" i="1"/>
  <c r="DM27" i="1"/>
  <c r="DM254" i="1"/>
  <c r="Y254" i="1"/>
  <c r="DM282" i="1"/>
  <c r="DM127" i="1"/>
  <c r="DM78" i="1"/>
  <c r="DM20" i="1"/>
  <c r="DM25" i="1"/>
  <c r="DM258" i="1"/>
  <c r="DM90" i="1"/>
  <c r="DM29" i="1"/>
  <c r="AG170" i="1"/>
  <c r="DM170" i="1"/>
  <c r="DM220" i="1"/>
  <c r="DM207" i="1"/>
  <c r="DM197" i="1"/>
  <c r="DM194" i="1"/>
  <c r="DM190" i="1"/>
  <c r="DM157" i="1"/>
  <c r="DM126" i="1"/>
  <c r="DM111" i="1"/>
  <c r="DM59" i="1"/>
  <c r="DM9" i="1"/>
  <c r="Y9" i="1"/>
  <c r="DM271" i="1"/>
  <c r="DM233" i="1"/>
  <c r="DM214" i="1"/>
  <c r="DM147" i="1"/>
  <c r="DM117" i="1"/>
  <c r="Y117" i="1"/>
  <c r="DM296" i="1"/>
  <c r="DM284" i="1"/>
  <c r="DM279" i="1"/>
  <c r="DM241" i="1"/>
  <c r="DM175" i="1"/>
  <c r="DM134" i="1"/>
  <c r="DM118" i="1"/>
  <c r="DM105" i="1"/>
  <c r="DM94" i="1"/>
  <c r="DM82" i="1"/>
  <c r="Y82" i="1"/>
  <c r="DM62" i="1"/>
  <c r="DM48" i="1"/>
  <c r="Y36" i="1"/>
  <c r="DM51" i="1"/>
  <c r="DM292" i="1"/>
  <c r="DM285" i="1"/>
  <c r="DM280" i="1"/>
  <c r="DM206" i="1"/>
  <c r="DM185" i="1"/>
  <c r="DM110" i="1"/>
  <c r="DM91" i="1"/>
  <c r="DM15" i="1"/>
  <c r="DM291" i="1"/>
  <c r="Y256" i="1"/>
  <c r="DM249" i="1"/>
  <c r="DM211" i="1"/>
  <c r="DM195" i="1"/>
  <c r="DM189" i="1"/>
  <c r="DM176" i="1"/>
  <c r="DM158" i="1"/>
  <c r="DM143" i="1"/>
  <c r="Y135" i="1"/>
  <c r="DM97" i="1"/>
  <c r="DM58" i="1"/>
  <c r="DM54" i="1"/>
  <c r="DM191" i="1"/>
  <c r="DM179" i="1"/>
  <c r="DM153" i="1"/>
  <c r="DM28" i="1"/>
  <c r="Y28" i="1"/>
  <c r="DM261" i="1"/>
  <c r="DM232" i="1"/>
  <c r="DM137" i="1"/>
  <c r="DM92" i="1"/>
  <c r="DM139" i="1"/>
  <c r="DM219" i="1"/>
  <c r="DM203" i="1"/>
  <c r="Y123" i="1"/>
  <c r="AG172" i="1"/>
  <c r="DM172" i="1"/>
  <c r="AG293" i="1"/>
  <c r="DM293" i="1"/>
  <c r="Y209" i="1"/>
  <c r="Y159" i="1"/>
  <c r="Y12" i="1"/>
  <c r="Y221" i="1"/>
  <c r="Y253" i="1"/>
  <c r="Y190" i="1"/>
  <c r="Y144" i="1"/>
  <c r="Y11" i="1"/>
  <c r="DM204" i="1"/>
  <c r="DM196" i="1"/>
  <c r="DM193" i="1"/>
  <c r="DM183" i="1"/>
  <c r="DM178" i="1"/>
  <c r="DM145" i="1"/>
  <c r="DM141" i="1"/>
  <c r="DM133" i="1"/>
  <c r="DM104" i="1"/>
  <c r="DM100" i="1"/>
  <c r="DM81" i="1"/>
  <c r="DM69" i="1"/>
  <c r="DM38" i="1"/>
  <c r="DM14" i="1"/>
  <c r="DM252" i="1"/>
  <c r="DM225" i="1"/>
  <c r="DM180" i="1"/>
  <c r="DM128" i="1"/>
  <c r="DM49" i="1"/>
  <c r="DM19" i="1"/>
  <c r="DM281" i="1"/>
  <c r="DM266" i="1"/>
  <c r="DM255" i="1"/>
  <c r="DM247" i="1"/>
  <c r="DM228" i="1"/>
  <c r="DM218" i="1"/>
  <c r="DM213" i="1"/>
  <c r="Y151" i="1"/>
  <c r="DM86" i="1"/>
  <c r="DM60" i="1"/>
  <c r="DM57" i="1"/>
  <c r="DM53" i="1"/>
  <c r="DM46" i="1"/>
  <c r="DM227" i="1"/>
  <c r="DM173" i="1"/>
  <c r="DM95" i="1"/>
  <c r="DM80" i="1"/>
  <c r="DM45" i="1"/>
  <c r="DM216" i="1"/>
  <c r="DM184" i="1"/>
  <c r="DM149" i="1"/>
  <c r="DM101" i="1"/>
  <c r="DM65" i="1"/>
  <c r="DM34" i="1"/>
  <c r="DM23" i="1"/>
  <c r="DM278" i="1"/>
  <c r="DM250" i="1"/>
  <c r="Y250" i="1"/>
  <c r="DM177" i="1"/>
  <c r="Y177" i="1"/>
  <c r="DM107" i="1"/>
  <c r="DM77" i="1"/>
  <c r="DM24" i="1"/>
  <c r="Y24" i="1"/>
  <c r="DM240" i="1"/>
  <c r="Y240" i="1"/>
  <c r="DM52" i="1"/>
  <c r="DM85" i="1"/>
  <c r="Y85" i="1"/>
  <c r="AG236" i="1"/>
  <c r="DM236" i="1"/>
  <c r="DM290" i="1"/>
  <c r="DM257" i="1"/>
  <c r="DM238" i="1"/>
  <c r="Y208" i="1"/>
  <c r="DM129" i="1"/>
  <c r="Y33" i="1"/>
  <c r="DM26" i="1"/>
  <c r="DM22" i="1"/>
  <c r="Y43" i="1"/>
  <c r="DM274" i="1"/>
  <c r="DM243" i="1"/>
  <c r="DM235" i="1"/>
  <c r="DM223" i="1"/>
  <c r="DM169" i="1"/>
  <c r="Y169" i="1"/>
  <c r="DM113" i="1"/>
  <c r="DM93" i="1"/>
  <c r="DM37" i="1"/>
  <c r="DM277" i="1"/>
  <c r="DM244" i="1"/>
  <c r="DM234" i="1"/>
  <c r="DM215" i="1"/>
  <c r="Y215" i="1"/>
  <c r="DM202" i="1"/>
  <c r="DM181" i="1"/>
  <c r="DM146" i="1"/>
  <c r="Y138" i="1"/>
  <c r="DM116" i="1"/>
  <c r="DM112" i="1"/>
  <c r="DM50" i="1"/>
  <c r="DM13" i="1"/>
  <c r="DM42" i="1"/>
  <c r="DM289" i="1"/>
  <c r="DM283" i="1"/>
  <c r="DM115" i="1"/>
  <c r="DM297" i="1"/>
  <c r="DM251" i="1"/>
  <c r="DM248" i="1"/>
  <c r="DM205" i="1"/>
  <c r="DM182" i="1"/>
  <c r="DM156" i="1"/>
  <c r="DM125" i="1"/>
  <c r="DM106" i="1"/>
  <c r="DM39" i="1"/>
  <c r="DM262" i="1"/>
  <c r="DM237" i="1"/>
  <c r="DM83" i="1"/>
  <c r="D239" i="1"/>
  <c r="C239" i="1"/>
  <c r="D10" i="1"/>
  <c r="H10" i="1" s="1"/>
  <c r="C10" i="1"/>
  <c r="G10" i="1" s="1"/>
  <c r="D68" i="1"/>
  <c r="H68" i="1" s="1"/>
  <c r="C186" i="1"/>
  <c r="D186" i="1"/>
  <c r="C167" i="1"/>
  <c r="G167" i="1" s="1"/>
  <c r="D167" i="1"/>
  <c r="H167" i="1" s="1"/>
  <c r="C230" i="1"/>
  <c r="G230" i="1" s="1"/>
  <c r="C201" i="1"/>
  <c r="G201" i="1" s="1"/>
  <c r="D201" i="1"/>
  <c r="H201" i="1" s="1"/>
  <c r="C122" i="1"/>
  <c r="G122" i="1" s="1"/>
  <c r="D122" i="1"/>
  <c r="H122" i="1" s="1"/>
  <c r="C121" i="1"/>
  <c r="G121" i="1" s="1"/>
  <c r="D121" i="1"/>
  <c r="H121" i="1" s="1"/>
  <c r="D119" i="1"/>
  <c r="H119" i="1" s="1"/>
  <c r="C120" i="1"/>
  <c r="G120" i="1" s="1"/>
  <c r="D120" i="1"/>
  <c r="H120" i="1" s="1"/>
  <c r="D200" i="1"/>
  <c r="H200" i="1" s="1"/>
  <c r="C200" i="1"/>
  <c r="G200" i="1" s="1"/>
  <c r="D199" i="1"/>
  <c r="H199" i="1" s="1"/>
  <c r="C199" i="1"/>
  <c r="G199" i="1" s="1"/>
  <c r="C198" i="1"/>
  <c r="G198" i="1" s="1"/>
  <c r="D198" i="1"/>
  <c r="H198" i="1" s="1"/>
  <c r="D160" i="1"/>
  <c r="H160" i="1" s="1"/>
  <c r="C160" i="1"/>
  <c r="G160" i="1" s="1"/>
  <c r="D162" i="1"/>
  <c r="H162" i="1" s="1"/>
  <c r="C162" i="1"/>
  <c r="G162" i="1" s="1"/>
  <c r="C131" i="1"/>
  <c r="G131" i="1" s="1"/>
  <c r="D88" i="1"/>
  <c r="H88" i="1" s="1"/>
  <c r="C88" i="1"/>
  <c r="G88" i="1" s="1"/>
  <c r="C242" i="1"/>
  <c r="G242" i="1" s="1"/>
  <c r="D273" i="1"/>
  <c r="H273" i="1" s="1"/>
  <c r="C212" i="1"/>
  <c r="G212" i="1" s="1"/>
  <c r="D212" i="1"/>
  <c r="H212" i="1" s="1"/>
  <c r="C267" i="1"/>
  <c r="G267" i="1" s="1"/>
  <c r="C272" i="1"/>
  <c r="G272" i="1" s="1"/>
  <c r="D272" i="1"/>
  <c r="H272" i="1" s="1"/>
  <c r="C70" i="1"/>
  <c r="G70" i="1" s="1"/>
  <c r="D70" i="1"/>
  <c r="H70" i="1" s="1"/>
  <c r="D71" i="1"/>
  <c r="H71" i="1" s="1"/>
  <c r="C71" i="1"/>
  <c r="G71" i="1" s="1"/>
  <c r="D132" i="1"/>
  <c r="H132" i="1" s="1"/>
  <c r="C132" i="1"/>
  <c r="G132" i="1" s="1"/>
  <c r="D268" i="1"/>
  <c r="H268" i="1" s="1"/>
  <c r="C269" i="1"/>
  <c r="G269" i="1" s="1"/>
  <c r="D269" i="1"/>
  <c r="H269" i="1" s="1"/>
  <c r="Z133" i="1"/>
  <c r="C265" i="1"/>
  <c r="G265" i="1" s="1"/>
  <c r="D265" i="1"/>
  <c r="H265" i="1" s="1"/>
  <c r="D264" i="1"/>
  <c r="H264" i="1" s="1"/>
  <c r="C264" i="1"/>
  <c r="G264" i="1" s="1"/>
  <c r="AA280" i="1"/>
  <c r="AB280" i="1" s="1"/>
  <c r="AE280" i="1"/>
  <c r="AA60" i="1"/>
  <c r="AB60" i="1" s="1"/>
  <c r="AD60" i="1"/>
  <c r="AA113" i="1"/>
  <c r="AB113" i="1" s="1"/>
  <c r="AB214" i="1"/>
  <c r="AE214" i="1"/>
  <c r="C263" i="1"/>
  <c r="G263" i="1" s="1"/>
  <c r="AE260" i="1"/>
  <c r="AE249" i="1"/>
  <c r="Z287" i="1"/>
  <c r="AD228" i="1"/>
  <c r="DN228" i="1" s="1"/>
  <c r="AE137" i="1"/>
  <c r="DN137" i="1" s="1"/>
  <c r="Z61" i="1"/>
  <c r="Z93" i="1"/>
  <c r="AE250" i="1"/>
  <c r="Z170" i="1"/>
  <c r="AD11" i="1"/>
  <c r="DN11" i="1" s="1"/>
  <c r="AE218" i="1"/>
  <c r="DN218" i="1" s="1"/>
  <c r="AD290" i="1"/>
  <c r="DN290" i="1" s="1"/>
  <c r="Z258" i="1"/>
  <c r="AD247" i="1"/>
  <c r="AE289" i="1"/>
  <c r="DN289" i="1" s="1"/>
  <c r="Z90" i="1"/>
  <c r="Z26" i="1"/>
  <c r="Z14" i="1"/>
  <c r="AD105" i="1"/>
  <c r="Z96" i="1"/>
  <c r="AE154" i="1"/>
  <c r="AD197" i="1"/>
  <c r="AD232" i="1"/>
  <c r="DN232" i="1" s="1"/>
  <c r="AE271" i="1"/>
  <c r="AE37" i="1"/>
  <c r="DN37" i="1" s="1"/>
  <c r="AD266" i="1"/>
  <c r="C72" i="1"/>
  <c r="G72" i="1" s="1"/>
  <c r="D72" i="1"/>
  <c r="H72" i="1" s="1"/>
  <c r="AD78" i="1"/>
  <c r="AE113" i="1"/>
  <c r="C259" i="1"/>
  <c r="G259" i="1" s="1"/>
  <c r="AE146" i="1"/>
  <c r="DN146" i="1" s="1"/>
  <c r="D275" i="1"/>
  <c r="H275" i="1" s="1"/>
  <c r="C275" i="1"/>
  <c r="G275" i="1" s="1"/>
  <c r="Z55" i="1"/>
  <c r="AD281" i="1"/>
  <c r="DN281" i="1" s="1"/>
  <c r="AE244" i="1"/>
  <c r="DN244" i="1" s="1"/>
  <c r="AE128" i="1"/>
  <c r="AE222" i="1"/>
  <c r="AD172" i="1"/>
  <c r="DN172" i="1" s="1"/>
  <c r="AD185" i="1"/>
  <c r="AE286" i="1"/>
  <c r="AD177" i="1"/>
  <c r="DN177" i="1" s="1"/>
  <c r="AE224" i="1"/>
  <c r="AE206" i="1"/>
  <c r="DN206" i="1" s="1"/>
  <c r="AD214" i="1"/>
  <c r="DN214" i="1" s="1"/>
  <c r="AD103" i="1"/>
  <c r="AE63" i="1"/>
  <c r="AE127" i="1"/>
  <c r="AD224" i="1"/>
  <c r="DN224" i="1" s="1"/>
  <c r="D276" i="1"/>
  <c r="H276" i="1" s="1"/>
  <c r="C276" i="1"/>
  <c r="G276" i="1" s="1"/>
  <c r="D73" i="1"/>
  <c r="H73" i="1" s="1"/>
  <c r="D74" i="1"/>
  <c r="H74" i="1" s="1"/>
  <c r="C74" i="1"/>
  <c r="G74" i="1" s="1"/>
  <c r="AE144" i="1"/>
  <c r="AB138" i="1"/>
  <c r="AE104" i="1"/>
  <c r="DN104" i="1" s="1"/>
  <c r="AE203" i="1"/>
  <c r="AE251" i="1"/>
  <c r="AD222" i="1"/>
  <c r="DN222" i="1" s="1"/>
  <c r="AE292" i="1"/>
  <c r="AE45" i="1"/>
  <c r="DN45" i="1" s="1"/>
  <c r="AE278" i="1"/>
  <c r="AD292" i="1"/>
  <c r="DN292" i="1" s="1"/>
  <c r="AD82" i="1"/>
  <c r="AE56" i="1"/>
  <c r="DN56" i="1" s="1"/>
  <c r="AD298" i="1"/>
  <c r="DN298" i="1" s="1"/>
  <c r="AD279" i="1"/>
  <c r="Z228" i="1"/>
  <c r="AE279" i="1"/>
  <c r="DN279" i="1" s="1"/>
  <c r="AD55" i="1"/>
  <c r="DN55" i="1" s="1"/>
  <c r="AE55" i="1"/>
  <c r="AD114" i="1"/>
  <c r="AD254" i="1"/>
  <c r="DN254" i="1" s="1"/>
  <c r="AD113" i="1"/>
  <c r="DN113" i="1" s="1"/>
  <c r="AE213" i="1"/>
  <c r="AA98" i="1"/>
  <c r="R98" i="1"/>
  <c r="DM98" i="1" s="1"/>
  <c r="AE100" i="1"/>
  <c r="AD41" i="1"/>
  <c r="AD203" i="1"/>
  <c r="DN203" i="1" s="1"/>
  <c r="AD59" i="1"/>
  <c r="AD97" i="1"/>
  <c r="DN97" i="1" s="1"/>
  <c r="AD115" i="1"/>
  <c r="AD107" i="1"/>
  <c r="AD95" i="1"/>
  <c r="DN95" i="1" s="1"/>
  <c r="AD24" i="1"/>
  <c r="DN24" i="1" s="1"/>
  <c r="AD93" i="1"/>
  <c r="DN93" i="1" s="1"/>
  <c r="AD147" i="1"/>
  <c r="DN147" i="1" s="1"/>
  <c r="AD227" i="1"/>
  <c r="DN227" i="1" s="1"/>
  <c r="P140" i="1"/>
  <c r="X140" i="1" s="1"/>
  <c r="AD297" i="1"/>
  <c r="DN297" i="1" s="1"/>
  <c r="AD28" i="1"/>
  <c r="DN28" i="1" s="1"/>
  <c r="AD257" i="1"/>
  <c r="DN257" i="1" s="1"/>
  <c r="AD209" i="1"/>
  <c r="AE21" i="1"/>
  <c r="AE151" i="1"/>
  <c r="AD235" i="1"/>
  <c r="DN235" i="1" s="1"/>
  <c r="AE94" i="1"/>
  <c r="AE284" i="1"/>
  <c r="AD183" i="1"/>
  <c r="AD169" i="1"/>
  <c r="DN169" i="1" s="1"/>
  <c r="AD139" i="1"/>
  <c r="AD181" i="1"/>
  <c r="DN181" i="1" s="1"/>
  <c r="AE44" i="1"/>
  <c r="DN44" i="1" s="1"/>
  <c r="AE126" i="1"/>
  <c r="DN126" i="1" s="1"/>
  <c r="AD252" i="1"/>
  <c r="DN252" i="1" s="1"/>
  <c r="Z106" i="1"/>
  <c r="AD106" i="1"/>
  <c r="AE235" i="1"/>
  <c r="AD213" i="1"/>
  <c r="DN213" i="1" s="1"/>
  <c r="AD146" i="1"/>
  <c r="AD150" i="1"/>
  <c r="DN150" i="1" s="1"/>
  <c r="AD31" i="1"/>
  <c r="DN31" i="1" s="1"/>
  <c r="AE142" i="1"/>
  <c r="DN142" i="1" s="1"/>
  <c r="AD178" i="1"/>
  <c r="DN178" i="1" s="1"/>
  <c r="AE257" i="1"/>
  <c r="Z235" i="1"/>
  <c r="AD216" i="1"/>
  <c r="DN216" i="1" s="1"/>
  <c r="AD218" i="1"/>
  <c r="AE150" i="1"/>
  <c r="AE147" i="1"/>
  <c r="AD86" i="1"/>
  <c r="DN86" i="1" s="1"/>
  <c r="AE93" i="1"/>
  <c r="AD77" i="1"/>
  <c r="AD26" i="1"/>
  <c r="DN26" i="1" s="1"/>
  <c r="AD156" i="1"/>
  <c r="DN156" i="1" s="1"/>
  <c r="AE283" i="1"/>
  <c r="AE157" i="1"/>
  <c r="AE210" i="1"/>
  <c r="AD84" i="1"/>
  <c r="AE118" i="1"/>
  <c r="AE79" i="1"/>
  <c r="DN79" i="1" s="1"/>
  <c r="AE29" i="1"/>
  <c r="AE149" i="1"/>
  <c r="AE247" i="1"/>
  <c r="DN247" i="1" s="1"/>
  <c r="AD129" i="1"/>
  <c r="Z257" i="1"/>
  <c r="Z260" i="1"/>
  <c r="AC260" i="1" s="1"/>
  <c r="AE266" i="1"/>
  <c r="AE223" i="1"/>
  <c r="AE81" i="1"/>
  <c r="DN81" i="1" s="1"/>
  <c r="Z41" i="1"/>
  <c r="AC41" i="1" s="1"/>
  <c r="AD251" i="1"/>
  <c r="DN251" i="1" s="1"/>
  <c r="AD158" i="1"/>
  <c r="DN158" i="1" s="1"/>
  <c r="AD152" i="1"/>
  <c r="DN152" i="1" s="1"/>
  <c r="AD112" i="1"/>
  <c r="DN112" i="1" s="1"/>
  <c r="AE125" i="1"/>
  <c r="AE65" i="1"/>
  <c r="AE64" i="1"/>
  <c r="DN64" i="1" s="1"/>
  <c r="AD278" i="1"/>
  <c r="DN278" i="1" s="1"/>
  <c r="AD133" i="1"/>
  <c r="AE297" i="1"/>
  <c r="AE281" i="1"/>
  <c r="AE282" i="1"/>
  <c r="AE262" i="1"/>
  <c r="Z227" i="1"/>
  <c r="AD244" i="1"/>
  <c r="AE228" i="1"/>
  <c r="AE227" i="1"/>
  <c r="AD223" i="1"/>
  <c r="DN223" i="1" s="1"/>
  <c r="AE181" i="1"/>
  <c r="AE156" i="1"/>
  <c r="AD144" i="1"/>
  <c r="DN144" i="1" s="1"/>
  <c r="AE133" i="1"/>
  <c r="DN133" i="1" s="1"/>
  <c r="AD110" i="1"/>
  <c r="Z50" i="1"/>
  <c r="AD296" i="1"/>
  <c r="AD284" i="1"/>
  <c r="DN284" i="1" s="1"/>
  <c r="AE287" i="1"/>
  <c r="Z181" i="1"/>
  <c r="AE169" i="1"/>
  <c r="AE106" i="1"/>
  <c r="DN106" i="1" s="1"/>
  <c r="Z118" i="1"/>
  <c r="AE236" i="1"/>
  <c r="Z236" i="1"/>
  <c r="Z234" i="1"/>
  <c r="AE234" i="1"/>
  <c r="DN234" i="1" s="1"/>
  <c r="AD234" i="1"/>
  <c r="AD187" i="1"/>
  <c r="AE178" i="1"/>
  <c r="AD128" i="1"/>
  <c r="DN128" i="1" s="1"/>
  <c r="AE183" i="1"/>
  <c r="DN183" i="1" s="1"/>
  <c r="C171" i="1"/>
  <c r="G171" i="1" s="1"/>
  <c r="AE59" i="1"/>
  <c r="AE11" i="1"/>
  <c r="AD229" i="1"/>
  <c r="DN229" i="1" s="1"/>
  <c r="AE41" i="1"/>
  <c r="DN41" i="1" s="1"/>
  <c r="AD138" i="1"/>
  <c r="AE23" i="1"/>
  <c r="AD44" i="1"/>
  <c r="AE258" i="1"/>
  <c r="AD118" i="1"/>
  <c r="DN118" i="1" s="1"/>
  <c r="AD79" i="1"/>
  <c r="AD27" i="1"/>
  <c r="DN27" i="1" s="1"/>
  <c r="AD280" i="1"/>
  <c r="DN280" i="1" s="1"/>
  <c r="AD117" i="1"/>
  <c r="DN117" i="1" s="1"/>
  <c r="AD45" i="1"/>
  <c r="AE299" i="1"/>
  <c r="AE204" i="1"/>
  <c r="AD29" i="1"/>
  <c r="DN29" i="1" s="1"/>
  <c r="AD149" i="1"/>
  <c r="DN149" i="1" s="1"/>
  <c r="AD282" i="1"/>
  <c r="DN282" i="1" s="1"/>
  <c r="Z183" i="1"/>
  <c r="AE290" i="1"/>
  <c r="AD236" i="1"/>
  <c r="DN236" i="1" s="1"/>
  <c r="AE105" i="1"/>
  <c r="DN105" i="1" s="1"/>
  <c r="AE103" i="1"/>
  <c r="DN103" i="1" s="1"/>
  <c r="Z105" i="1"/>
  <c r="AE252" i="1"/>
  <c r="AE177" i="1"/>
  <c r="AD108" i="1"/>
  <c r="DN108" i="1" s="1"/>
  <c r="AE129" i="1"/>
  <c r="DN129" i="1" s="1"/>
  <c r="AD23" i="1"/>
  <c r="DN23" i="1" s="1"/>
  <c r="AD14" i="1"/>
  <c r="AE195" i="1"/>
  <c r="AE108" i="1"/>
  <c r="AD38" i="1"/>
  <c r="DN38" i="1" s="1"/>
  <c r="AD206" i="1"/>
  <c r="AD153" i="1"/>
  <c r="DN153" i="1" s="1"/>
  <c r="AE153" i="1"/>
  <c r="AD145" i="1"/>
  <c r="AE145" i="1"/>
  <c r="DN145" i="1" s="1"/>
  <c r="Z145" i="1"/>
  <c r="AC145" i="1" s="1"/>
  <c r="AD51" i="1"/>
  <c r="AD34" i="1"/>
  <c r="DN34" i="1" s="1"/>
  <c r="AE34" i="1"/>
  <c r="AD180" i="1"/>
  <c r="DN180" i="1" s="1"/>
  <c r="AD240" i="1"/>
  <c r="DN240" i="1" s="1"/>
  <c r="AE240" i="1"/>
  <c r="AD253" i="1"/>
  <c r="DN253" i="1" s="1"/>
  <c r="Z299" i="1"/>
  <c r="AD293" i="1"/>
  <c r="AD274" i="1"/>
  <c r="Z266" i="1"/>
  <c r="AE254" i="1"/>
  <c r="AD233" i="1"/>
  <c r="DN233" i="1" s="1"/>
  <c r="Z247" i="1"/>
  <c r="AE216" i="1"/>
  <c r="AE209" i="1"/>
  <c r="DN209" i="1" s="1"/>
  <c r="AD210" i="1"/>
  <c r="DN210" i="1" s="1"/>
  <c r="AD184" i="1"/>
  <c r="AD155" i="1"/>
  <c r="DN155" i="1" s="1"/>
  <c r="AE138" i="1"/>
  <c r="DN138" i="1" s="1"/>
  <c r="AE107" i="1"/>
  <c r="DN107" i="1" s="1"/>
  <c r="AD90" i="1"/>
  <c r="DN90" i="1" s="1"/>
  <c r="AD61" i="1"/>
  <c r="AD50" i="1"/>
  <c r="AE86" i="1"/>
  <c r="AE36" i="1"/>
  <c r="DN36" i="1" s="1"/>
  <c r="AE26" i="1"/>
  <c r="AD215" i="1"/>
  <c r="DN215" i="1" s="1"/>
  <c r="Z285" i="1"/>
  <c r="AD94" i="1"/>
  <c r="DN94" i="1" s="1"/>
  <c r="AE255" i="1"/>
  <c r="AE205" i="1"/>
  <c r="AE116" i="1"/>
  <c r="AE25" i="1"/>
  <c r="AD211" i="1"/>
  <c r="DN211" i="1" s="1"/>
  <c r="AE91" i="1"/>
  <c r="AE85" i="1"/>
  <c r="AD286" i="1"/>
  <c r="DN286" i="1" s="1"/>
  <c r="AD21" i="1"/>
  <c r="DN21" i="1" s="1"/>
  <c r="AD151" i="1"/>
  <c r="DN151" i="1" s="1"/>
  <c r="AE202" i="1"/>
  <c r="DN202" i="1" s="1"/>
  <c r="AD289" i="1"/>
  <c r="AD299" i="1"/>
  <c r="DN299" i="1" s="1"/>
  <c r="AD271" i="1"/>
  <c r="DN271" i="1" s="1"/>
  <c r="AE274" i="1"/>
  <c r="AD241" i="1"/>
  <c r="DN241" i="1" s="1"/>
  <c r="AE155" i="1"/>
  <c r="AD104" i="1"/>
  <c r="AE117" i="1"/>
  <c r="AD127" i="1"/>
  <c r="DN127" i="1" s="1"/>
  <c r="Z45" i="1"/>
  <c r="AE61" i="1"/>
  <c r="DN61" i="1" s="1"/>
  <c r="AE50" i="1"/>
  <c r="DN50" i="1" s="1"/>
  <c r="AB86" i="1"/>
  <c r="AE82" i="1"/>
  <c r="DN82" i="1" s="1"/>
  <c r="AE78" i="1"/>
  <c r="DN78" i="1" s="1"/>
  <c r="AE22" i="1"/>
  <c r="DN22" i="1" s="1"/>
  <c r="AD285" i="1"/>
  <c r="DN285" i="1" s="1"/>
  <c r="AE253" i="1"/>
  <c r="AE232" i="1"/>
  <c r="AE241" i="1"/>
  <c r="AB206" i="1"/>
  <c r="AE185" i="1"/>
  <c r="DN185" i="1" s="1"/>
  <c r="AD191" i="1"/>
  <c r="AE90" i="1"/>
  <c r="AE97" i="1"/>
  <c r="AE19" i="1"/>
  <c r="AE233" i="1"/>
  <c r="AD283" i="1"/>
  <c r="DN283" i="1" s="1"/>
  <c r="AD237" i="1"/>
  <c r="AE52" i="1"/>
  <c r="AE20" i="1"/>
  <c r="DN20" i="1" s="1"/>
  <c r="AE12" i="1"/>
  <c r="AD243" i="1"/>
  <c r="AE285" i="1"/>
  <c r="AD277" i="1"/>
  <c r="DN277" i="1" s="1"/>
  <c r="AD255" i="1"/>
  <c r="DN255" i="1" s="1"/>
  <c r="AE229" i="1"/>
  <c r="AE211" i="1"/>
  <c r="AD208" i="1"/>
  <c r="DN208" i="1" s="1"/>
  <c r="AD202" i="1"/>
  <c r="AE180" i="1"/>
  <c r="AE184" i="1"/>
  <c r="DN184" i="1" s="1"/>
  <c r="AE191" i="1"/>
  <c r="DN191" i="1" s="1"/>
  <c r="AE114" i="1"/>
  <c r="DN114" i="1" s="1"/>
  <c r="Z103" i="1"/>
  <c r="Z63" i="1"/>
  <c r="Z25" i="1"/>
  <c r="AD85" i="1"/>
  <c r="DN85" i="1" s="1"/>
  <c r="AE60" i="1"/>
  <c r="AD91" i="1"/>
  <c r="DN91" i="1" s="1"/>
  <c r="AD46" i="1"/>
  <c r="AE298" i="1"/>
  <c r="AE277" i="1"/>
  <c r="AD249" i="1"/>
  <c r="DN249" i="1" s="1"/>
  <c r="AD260" i="1"/>
  <c r="DN260" i="1" s="1"/>
  <c r="AD204" i="1"/>
  <c r="DN204" i="1" s="1"/>
  <c r="AE215" i="1"/>
  <c r="AD205" i="1"/>
  <c r="DN205" i="1" s="1"/>
  <c r="Z211" i="1"/>
  <c r="AE208" i="1"/>
  <c r="AD116" i="1"/>
  <c r="DN116" i="1" s="1"/>
  <c r="AD137" i="1"/>
  <c r="AE135" i="1"/>
  <c r="DN135" i="1" s="1"/>
  <c r="AD63" i="1"/>
  <c r="AE77" i="1"/>
  <c r="DN77" i="1" s="1"/>
  <c r="AD43" i="1"/>
  <c r="Z129" i="1"/>
  <c r="AD195" i="1"/>
  <c r="DN195" i="1" s="1"/>
  <c r="AD148" i="1"/>
  <c r="Z48" i="1"/>
  <c r="AE43" i="1"/>
  <c r="DN43" i="1" s="1"/>
  <c r="Z152" i="1"/>
  <c r="AE296" i="1"/>
  <c r="DN296" i="1" s="1"/>
  <c r="AE293" i="1"/>
  <c r="DN293" i="1" s="1"/>
  <c r="AD287" i="1"/>
  <c r="DN287" i="1" s="1"/>
  <c r="AD221" i="1"/>
  <c r="DN221" i="1" s="1"/>
  <c r="AD159" i="1"/>
  <c r="DN159" i="1" s="1"/>
  <c r="AD58" i="1"/>
  <c r="AE51" i="1"/>
  <c r="DN51" i="1" s="1"/>
  <c r="AE148" i="1"/>
  <c r="DN148" i="1" s="1"/>
  <c r="AE187" i="1"/>
  <c r="DN187" i="1" s="1"/>
  <c r="AD157" i="1"/>
  <c r="DN157" i="1" s="1"/>
  <c r="AE110" i="1"/>
  <c r="DN110" i="1" s="1"/>
  <c r="AA84" i="1"/>
  <c r="AB84" i="1" s="1"/>
  <c r="AE84" i="1"/>
  <c r="DN84" i="1" s="1"/>
  <c r="AE197" i="1"/>
  <c r="DN197" i="1" s="1"/>
  <c r="AE152" i="1"/>
  <c r="AD54" i="1"/>
  <c r="AD65" i="1"/>
  <c r="DN65" i="1" s="1"/>
  <c r="AE31" i="1"/>
  <c r="AD250" i="1"/>
  <c r="DN250" i="1" s="1"/>
  <c r="AD258" i="1"/>
  <c r="DN258" i="1" s="1"/>
  <c r="AD248" i="1"/>
  <c r="DN248" i="1" s="1"/>
  <c r="AE226" i="1"/>
  <c r="AE159" i="1"/>
  <c r="AE112" i="1"/>
  <c r="AD125" i="1"/>
  <c r="DN125" i="1" s="1"/>
  <c r="AE54" i="1"/>
  <c r="DN54" i="1" s="1"/>
  <c r="AE95" i="1"/>
  <c r="AE58" i="1"/>
  <c r="DN58" i="1" s="1"/>
  <c r="AD80" i="1"/>
  <c r="AE28" i="1"/>
  <c r="Z172" i="1"/>
  <c r="AE172" i="1"/>
  <c r="AB83" i="1"/>
  <c r="AE83" i="1"/>
  <c r="AD226" i="1"/>
  <c r="DN226" i="1" s="1"/>
  <c r="AE80" i="1"/>
  <c r="DN80" i="1" s="1"/>
  <c r="AD20" i="1"/>
  <c r="Z293" i="1"/>
  <c r="AD262" i="1"/>
  <c r="DN262" i="1" s="1"/>
  <c r="AE243" i="1"/>
  <c r="DN243" i="1" s="1"/>
  <c r="Z226" i="1"/>
  <c r="AE237" i="1"/>
  <c r="DN237" i="1" s="1"/>
  <c r="AE158" i="1"/>
  <c r="AD154" i="1"/>
  <c r="DN154" i="1" s="1"/>
  <c r="AD83" i="1"/>
  <c r="DN83" i="1" s="1"/>
  <c r="AD52" i="1"/>
  <c r="AD64" i="1"/>
  <c r="Z19" i="1"/>
  <c r="AD19" i="1"/>
  <c r="DN19" i="1" s="1"/>
  <c r="AD12" i="1"/>
  <c r="DN12" i="1" s="1"/>
  <c r="Z150" i="1"/>
  <c r="Z112" i="1"/>
  <c r="AD81" i="1"/>
  <c r="C75" i="1"/>
  <c r="G75" i="1" s="1"/>
  <c r="D75" i="1"/>
  <c r="H75" i="1" s="1"/>
  <c r="P130" i="1"/>
  <c r="X130" i="1" s="1"/>
  <c r="AE13" i="1"/>
  <c r="DN13" i="1" s="1"/>
  <c r="AD13" i="1"/>
  <c r="AE99" i="1"/>
  <c r="DN99" i="1" s="1"/>
  <c r="AD99" i="1"/>
  <c r="AD134" i="1"/>
  <c r="AE134" i="1"/>
  <c r="DN134" i="1" s="1"/>
  <c r="AD192" i="1"/>
  <c r="DN192" i="1" s="1"/>
  <c r="AE192" i="1"/>
  <c r="Z47" i="1"/>
  <c r="AC47" i="1" s="1"/>
  <c r="AD39" i="1"/>
  <c r="DN39" i="1" s="1"/>
  <c r="AE39" i="1"/>
  <c r="AE33" i="1"/>
  <c r="AD33" i="1"/>
  <c r="DN33" i="1" s="1"/>
  <c r="AD62" i="1"/>
  <c r="AD92" i="1"/>
  <c r="DN92" i="1" s="1"/>
  <c r="Z92" i="1"/>
  <c r="AE92" i="1"/>
  <c r="AE288" i="1"/>
  <c r="AD288" i="1"/>
  <c r="DN288" i="1" s="1"/>
  <c r="AE238" i="1"/>
  <c r="DN238" i="1" s="1"/>
  <c r="AD238" i="1"/>
  <c r="Z238" i="1"/>
  <c r="AE115" i="1"/>
  <c r="DN115" i="1" s="1"/>
  <c r="AD142" i="1"/>
  <c r="AD56" i="1"/>
  <c r="AE24" i="1"/>
  <c r="AE14" i="1"/>
  <c r="DN14" i="1" s="1"/>
  <c r="AD30" i="1"/>
  <c r="DN30" i="1" s="1"/>
  <c r="AD25" i="1"/>
  <c r="DN25" i="1" s="1"/>
  <c r="Z156" i="1"/>
  <c r="AD100" i="1"/>
  <c r="DN100" i="1" s="1"/>
  <c r="AE173" i="1"/>
  <c r="DN173" i="1" s="1"/>
  <c r="Z115" i="1"/>
  <c r="AD22" i="1"/>
  <c r="AE30" i="1"/>
  <c r="Z30" i="1"/>
  <c r="AD123" i="1"/>
  <c r="DN123" i="1" s="1"/>
  <c r="AD261" i="1"/>
  <c r="DN261" i="1" s="1"/>
  <c r="AE261" i="1"/>
  <c r="AE32" i="1"/>
  <c r="AD32" i="1"/>
  <c r="DN32" i="1" s="1"/>
  <c r="AE109" i="1"/>
  <c r="DN109" i="1" s="1"/>
  <c r="AD109" i="1"/>
  <c r="AE207" i="1"/>
  <c r="DN207" i="1" s="1"/>
  <c r="AD207" i="1"/>
  <c r="AD256" i="1"/>
  <c r="DN256" i="1" s="1"/>
  <c r="AE256" i="1"/>
  <c r="Z182" i="1"/>
  <c r="AC182" i="1" s="1"/>
  <c r="AD182" i="1"/>
  <c r="DN182" i="1" s="1"/>
  <c r="AE182" i="1"/>
  <c r="AE189" i="1"/>
  <c r="DN189" i="1" s="1"/>
  <c r="AD189" i="1"/>
  <c r="AD57" i="1"/>
  <c r="AE35" i="1"/>
  <c r="AD35" i="1"/>
  <c r="DN35" i="1" s="1"/>
  <c r="Z35" i="1"/>
  <c r="AD176" i="1"/>
  <c r="DN176" i="1" s="1"/>
  <c r="AE176" i="1"/>
  <c r="AD111" i="1"/>
  <c r="AE111" i="1"/>
  <c r="DN111" i="1" s="1"/>
  <c r="AE69" i="1"/>
  <c r="Z69" i="1"/>
  <c r="AC69" i="1" s="1"/>
  <c r="AE53" i="1"/>
  <c r="AD53" i="1"/>
  <c r="AE15" i="1"/>
  <c r="AD15" i="1"/>
  <c r="DN15" i="1" s="1"/>
  <c r="AE139" i="1"/>
  <c r="DN139" i="1" s="1"/>
  <c r="AD49" i="1"/>
  <c r="AE62" i="1"/>
  <c r="AE27" i="1"/>
  <c r="AB20" i="1"/>
  <c r="Z189" i="1"/>
  <c r="AE123" i="1"/>
  <c r="AD47" i="1"/>
  <c r="AE49" i="1"/>
  <c r="DN49" i="1" s="1"/>
  <c r="Z62" i="1"/>
  <c r="AC62" i="1" s="1"/>
  <c r="AE46" i="1"/>
  <c r="DN46" i="1" s="1"/>
  <c r="AD190" i="1"/>
  <c r="AE47" i="1"/>
  <c r="DN47" i="1" s="1"/>
  <c r="AE248" i="1"/>
  <c r="AD9" i="1"/>
  <c r="AE9" i="1"/>
  <c r="AE291" i="1"/>
  <c r="DN291" i="1" s="1"/>
  <c r="AE190" i="1"/>
  <c r="DN190" i="1" s="1"/>
  <c r="Z102" i="1"/>
  <c r="AE102" i="1"/>
  <c r="DN102" i="1" s="1"/>
  <c r="AD102" i="1"/>
  <c r="AE174" i="1"/>
  <c r="AD174" i="1"/>
  <c r="DN174" i="1" s="1"/>
  <c r="AD291" i="1"/>
  <c r="AD135" i="1"/>
  <c r="AD126" i="1"/>
  <c r="AD69" i="1"/>
  <c r="DN69" i="1" s="1"/>
  <c r="AD48" i="1"/>
  <c r="AE57" i="1"/>
  <c r="DN57" i="1" s="1"/>
  <c r="AE221" i="1"/>
  <c r="AE48" i="1"/>
  <c r="DN48" i="1" s="1"/>
  <c r="AD37" i="1"/>
  <c r="Z225" i="1"/>
  <c r="AE294" i="1"/>
  <c r="AD173" i="1"/>
  <c r="AD196" i="1"/>
  <c r="AD141" i="1"/>
  <c r="Z141" i="1"/>
  <c r="AE141" i="1"/>
  <c r="DN141" i="1" s="1"/>
  <c r="AD42" i="1"/>
  <c r="AE42" i="1"/>
  <c r="DN42" i="1" s="1"/>
  <c r="AE38" i="1"/>
  <c r="AA38" i="1"/>
  <c r="AB38" i="1" s="1"/>
  <c r="AE196" i="1"/>
  <c r="DN196" i="1" s="1"/>
  <c r="AD179" i="1"/>
  <c r="DN179" i="1" s="1"/>
  <c r="AE179" i="1"/>
  <c r="AE96" i="1"/>
  <c r="AB36" i="1"/>
  <c r="AD294" i="1"/>
  <c r="DN294" i="1" s="1"/>
  <c r="AD219" i="1"/>
  <c r="DN219" i="1" s="1"/>
  <c r="AE219" i="1"/>
  <c r="AE225" i="1"/>
  <c r="AA225" i="1"/>
  <c r="AB225" i="1" s="1"/>
  <c r="AD225" i="1"/>
  <c r="DN225" i="1" s="1"/>
  <c r="AE193" i="1"/>
  <c r="DN193" i="1" s="1"/>
  <c r="AD193" i="1"/>
  <c r="AD194" i="1"/>
  <c r="DN194" i="1" s="1"/>
  <c r="AD175" i="1"/>
  <c r="DN175" i="1" s="1"/>
  <c r="AE175" i="1"/>
  <c r="Z143" i="1"/>
  <c r="AD143" i="1"/>
  <c r="AE143" i="1"/>
  <c r="DN143" i="1" s="1"/>
  <c r="AD170" i="1"/>
  <c r="AE40" i="1"/>
  <c r="DN40" i="1" s="1"/>
  <c r="AD40" i="1"/>
  <c r="AD36" i="1"/>
  <c r="AD270" i="1"/>
  <c r="DN270" i="1" s="1"/>
  <c r="AE270" i="1"/>
  <c r="AD220" i="1"/>
  <c r="DN220" i="1" s="1"/>
  <c r="AE220" i="1"/>
  <c r="AE217" i="1"/>
  <c r="DN217" i="1" s="1"/>
  <c r="AD217" i="1"/>
  <c r="AE194" i="1"/>
  <c r="AE170" i="1"/>
  <c r="AA101" i="1"/>
  <c r="AB101" i="1" s="1"/>
  <c r="AE101" i="1"/>
  <c r="AD101" i="1"/>
  <c r="Z98" i="1"/>
  <c r="AD96" i="1"/>
  <c r="DN96" i="1" s="1"/>
  <c r="AC137" i="1" l="1"/>
  <c r="AC174" i="1"/>
  <c r="AC114" i="1"/>
  <c r="AC202" i="1"/>
  <c r="AJ202" i="1" s="1"/>
  <c r="AC79" i="1"/>
  <c r="AJ79" i="1" s="1"/>
  <c r="AC34" i="1"/>
  <c r="AC44" i="1"/>
  <c r="AJ44" i="1" s="1"/>
  <c r="AC116" i="1"/>
  <c r="AJ116" i="1" s="1"/>
  <c r="AC56" i="1"/>
  <c r="AJ56" i="1" s="1"/>
  <c r="AC187" i="1"/>
  <c r="AJ187" i="1" s="1"/>
  <c r="AC218" i="1"/>
  <c r="AJ218" i="1" s="1"/>
  <c r="AC252" i="1"/>
  <c r="AJ252" i="1" s="1"/>
  <c r="AC249" i="1"/>
  <c r="AC244" i="1"/>
  <c r="AJ244" i="1" s="1"/>
  <c r="AC104" i="1"/>
  <c r="AJ104" i="1" s="1"/>
  <c r="AC134" i="1"/>
  <c r="AJ134" i="1" s="1"/>
  <c r="AC277" i="1"/>
  <c r="AJ277" i="1" s="1"/>
  <c r="AC213" i="1"/>
  <c r="AJ213" i="1" s="1"/>
  <c r="AC110" i="1"/>
  <c r="AJ110" i="1" s="1"/>
  <c r="AC210" i="1"/>
  <c r="AJ210" i="1" s="1"/>
  <c r="AC291" i="1"/>
  <c r="AJ291" i="1" s="1"/>
  <c r="AC292" i="1"/>
  <c r="AJ292" i="1" s="1"/>
  <c r="AC298" i="1"/>
  <c r="AJ298" i="1" s="1"/>
  <c r="AC142" i="1"/>
  <c r="AJ142" i="1" s="1"/>
  <c r="AC233" i="1"/>
  <c r="AJ233" i="1" s="1"/>
  <c r="AC55" i="1"/>
  <c r="AJ55" i="1" s="1"/>
  <c r="AC14" i="1"/>
  <c r="AJ14" i="1" s="1"/>
  <c r="AC287" i="1"/>
  <c r="AJ287" i="1" s="1"/>
  <c r="AC279" i="1"/>
  <c r="AJ279" i="1" s="1"/>
  <c r="AC255" i="1"/>
  <c r="AJ255" i="1" s="1"/>
  <c r="AC125" i="1"/>
  <c r="AJ125" i="1" s="1"/>
  <c r="AC294" i="1"/>
  <c r="AJ294" i="1" s="1"/>
  <c r="AC31" i="1"/>
  <c r="AJ31" i="1" s="1"/>
  <c r="AC251" i="1"/>
  <c r="AJ251" i="1" s="1"/>
  <c r="AC207" i="1"/>
  <c r="AJ207" i="1" s="1"/>
  <c r="AC58" i="1"/>
  <c r="AJ58" i="1" s="1"/>
  <c r="AC65" i="1"/>
  <c r="AJ65" i="1" s="1"/>
  <c r="AC154" i="1"/>
  <c r="AC241" i="1"/>
  <c r="AJ241" i="1" s="1"/>
  <c r="AC262" i="1"/>
  <c r="AJ262" i="1" s="1"/>
  <c r="AC54" i="1"/>
  <c r="AJ54" i="1" s="1"/>
  <c r="AC37" i="1"/>
  <c r="AJ37" i="1" s="1"/>
  <c r="AC146" i="1"/>
  <c r="AJ146" i="1" s="1"/>
  <c r="AC286" i="1"/>
  <c r="AJ286" i="1" s="1"/>
  <c r="AC22" i="1"/>
  <c r="AJ22" i="1" s="1"/>
  <c r="AC205" i="1"/>
  <c r="AJ205" i="1" s="1"/>
  <c r="AC97" i="1"/>
  <c r="AJ97" i="1" s="1"/>
  <c r="AC52" i="1"/>
  <c r="AJ52" i="1" s="1"/>
  <c r="AC147" i="1"/>
  <c r="AJ147" i="1" s="1"/>
  <c r="AC99" i="1"/>
  <c r="AJ99" i="1" s="1"/>
  <c r="AC224" i="1"/>
  <c r="AJ224" i="1" s="1"/>
  <c r="AC149" i="1"/>
  <c r="AJ149" i="1" s="1"/>
  <c r="AC108" i="1"/>
  <c r="AJ108" i="1" s="1"/>
  <c r="AC23" i="1"/>
  <c r="AJ23" i="1" s="1"/>
  <c r="AC77" i="1"/>
  <c r="AJ77" i="1" s="1"/>
  <c r="AC176" i="1"/>
  <c r="AJ176" i="1" s="1"/>
  <c r="AC81" i="1"/>
  <c r="AJ81" i="1" s="1"/>
  <c r="AC94" i="1"/>
  <c r="AJ94" i="1" s="1"/>
  <c r="AC126" i="1"/>
  <c r="AJ126" i="1" s="1"/>
  <c r="AC180" i="1"/>
  <c r="AJ180" i="1" s="1"/>
  <c r="AC195" i="1"/>
  <c r="AJ195" i="1" s="1"/>
  <c r="AC237" i="1"/>
  <c r="AJ237" i="1" s="1"/>
  <c r="AC289" i="1"/>
  <c r="AJ289" i="1" s="1"/>
  <c r="AC297" i="1"/>
  <c r="AJ297" i="1" s="1"/>
  <c r="AC261" i="1"/>
  <c r="AJ261" i="1" s="1"/>
  <c r="AC107" i="1"/>
  <c r="AJ107" i="1" s="1"/>
  <c r="AC191" i="1"/>
  <c r="AJ191" i="1" s="1"/>
  <c r="AC288" i="1"/>
  <c r="AJ288" i="1" s="1"/>
  <c r="AC111" i="1"/>
  <c r="AJ111" i="1" s="1"/>
  <c r="AC57" i="1"/>
  <c r="AJ57" i="1" s="1"/>
  <c r="AC192" i="1"/>
  <c r="AJ192" i="1" s="1"/>
  <c r="AC204" i="1"/>
  <c r="AJ204" i="1" s="1"/>
  <c r="AC248" i="1"/>
  <c r="AJ248" i="1" s="1"/>
  <c r="AC118" i="1"/>
  <c r="AJ118" i="1" s="1"/>
  <c r="AC228" i="1"/>
  <c r="AJ228" i="1" s="1"/>
  <c r="AC152" i="1"/>
  <c r="AJ152" i="1" s="1"/>
  <c r="AC80" i="1"/>
  <c r="AJ80" i="1" s="1"/>
  <c r="AC284" i="1"/>
  <c r="AJ284" i="1" s="1"/>
  <c r="AC157" i="1"/>
  <c r="AJ157" i="1" s="1"/>
  <c r="AC232" i="1"/>
  <c r="AJ232" i="1" s="1"/>
  <c r="AC51" i="1"/>
  <c r="AJ51" i="1" s="1"/>
  <c r="AC129" i="1"/>
  <c r="AC234" i="1"/>
  <c r="AJ234" i="1" s="1"/>
  <c r="AC227" i="1"/>
  <c r="AJ227" i="1" s="1"/>
  <c r="AC257" i="1"/>
  <c r="AJ257" i="1" s="1"/>
  <c r="AC235" i="1"/>
  <c r="AJ235" i="1" s="1"/>
  <c r="AC91" i="1"/>
  <c r="AJ91" i="1" s="1"/>
  <c r="AC133" i="1"/>
  <c r="AJ133" i="1" s="1"/>
  <c r="AC19" i="1"/>
  <c r="AJ19" i="1" s="1"/>
  <c r="AC243" i="1"/>
  <c r="AJ243" i="1" s="1"/>
  <c r="AC285" i="1"/>
  <c r="AJ285" i="1" s="1"/>
  <c r="AC183" i="1"/>
  <c r="AJ183" i="1" s="1"/>
  <c r="AC203" i="1"/>
  <c r="AJ203" i="1" s="1"/>
  <c r="AC90" i="1"/>
  <c r="AC194" i="1"/>
  <c r="AJ194" i="1" s="1"/>
  <c r="AC103" i="1"/>
  <c r="AJ103" i="1" s="1"/>
  <c r="AC93" i="1"/>
  <c r="AJ93" i="1" s="1"/>
  <c r="AC25" i="1"/>
  <c r="AJ25" i="1" s="1"/>
  <c r="AC299" i="1"/>
  <c r="AJ299" i="1" s="1"/>
  <c r="AC115" i="1"/>
  <c r="AJ115" i="1" s="1"/>
  <c r="AC150" i="1"/>
  <c r="AJ150" i="1" s="1"/>
  <c r="AC226" i="1"/>
  <c r="AJ226" i="1" s="1"/>
  <c r="AC48" i="1"/>
  <c r="AJ48" i="1" s="1"/>
  <c r="AC45" i="1"/>
  <c r="AJ45" i="1" s="1"/>
  <c r="AC50" i="1"/>
  <c r="AJ50" i="1" s="1"/>
  <c r="AC278" i="1"/>
  <c r="AJ278" i="1" s="1"/>
  <c r="DO225" i="1"/>
  <c r="DP225" i="1" s="1"/>
  <c r="DN63" i="1"/>
  <c r="DO63" i="1" s="1"/>
  <c r="DP63" i="1" s="1"/>
  <c r="AI63" i="1"/>
  <c r="DN170" i="1"/>
  <c r="DO170" i="1" s="1"/>
  <c r="DP170" i="1" s="1"/>
  <c r="AI170" i="1"/>
  <c r="DN62" i="1"/>
  <c r="DO62" i="1" s="1"/>
  <c r="DP62" i="1" s="1"/>
  <c r="AJ62" i="1"/>
  <c r="DN60" i="1"/>
  <c r="DO60" i="1" s="1"/>
  <c r="DP60" i="1" s="1"/>
  <c r="DN52" i="1"/>
  <c r="DO52" i="1" s="1"/>
  <c r="DP52" i="1" s="1"/>
  <c r="AI52" i="1"/>
  <c r="DN53" i="1"/>
  <c r="DO53" i="1" s="1"/>
  <c r="DP53" i="1" s="1"/>
  <c r="AI53" i="1"/>
  <c r="DN59" i="1"/>
  <c r="DO59" i="1" s="1"/>
  <c r="DP59" i="1" s="1"/>
  <c r="AI59" i="1"/>
  <c r="AC293" i="1"/>
  <c r="AJ293" i="1" s="1"/>
  <c r="Z190" i="1"/>
  <c r="AC190" i="1" s="1"/>
  <c r="AJ190" i="1" s="1"/>
  <c r="Z36" i="1"/>
  <c r="AI36" i="1" s="1"/>
  <c r="Z9" i="1"/>
  <c r="AC9" i="1" s="1"/>
  <c r="AJ9" i="1" s="1"/>
  <c r="AC172" i="1"/>
  <c r="AJ172" i="1" s="1"/>
  <c r="Z250" i="1"/>
  <c r="AC250" i="1" s="1"/>
  <c r="AJ250" i="1" s="1"/>
  <c r="Z240" i="1"/>
  <c r="AC240" i="1" s="1"/>
  <c r="AJ240" i="1" s="1"/>
  <c r="Z253" i="1"/>
  <c r="AC253" i="1" s="1"/>
  <c r="AJ253" i="1" s="1"/>
  <c r="Z138" i="1"/>
  <c r="AI138" i="1" s="1"/>
  <c r="Z85" i="1"/>
  <c r="AC85" i="1" s="1"/>
  <c r="AJ85" i="1" s="1"/>
  <c r="Z215" i="1"/>
  <c r="AC215" i="1" s="1"/>
  <c r="AJ215" i="1" s="1"/>
  <c r="Z254" i="1"/>
  <c r="AC254" i="1" s="1"/>
  <c r="AJ254" i="1" s="1"/>
  <c r="DN9" i="1"/>
  <c r="DO9" i="1" s="1"/>
  <c r="DP9" i="1" s="1"/>
  <c r="AC236" i="1"/>
  <c r="AJ236" i="1" s="1"/>
  <c r="Z209" i="1"/>
  <c r="AC209" i="1" s="1"/>
  <c r="AJ209" i="1" s="1"/>
  <c r="Z169" i="1"/>
  <c r="AC169" i="1" s="1"/>
  <c r="AJ169" i="1" s="1"/>
  <c r="Z13" i="1"/>
  <c r="AC13" i="1" s="1"/>
  <c r="AJ13" i="1" s="1"/>
  <c r="Z33" i="1"/>
  <c r="AC33" i="1" s="1"/>
  <c r="AJ33" i="1" s="1"/>
  <c r="Z24" i="1"/>
  <c r="AC24" i="1" s="1"/>
  <c r="AJ24" i="1" s="1"/>
  <c r="Z179" i="1"/>
  <c r="AI179" i="1" s="1"/>
  <c r="Z221" i="1"/>
  <c r="AC221" i="1" s="1"/>
  <c r="AJ221" i="1" s="1"/>
  <c r="Z28" i="1"/>
  <c r="AC28" i="1" s="1"/>
  <c r="AJ28" i="1" s="1"/>
  <c r="Z82" i="1"/>
  <c r="AI82" i="1" s="1"/>
  <c r="Z159" i="1"/>
  <c r="AI159" i="1" s="1"/>
  <c r="Z173" i="1"/>
  <c r="AC173" i="1" s="1"/>
  <c r="AJ173" i="1" s="1"/>
  <c r="Z151" i="1"/>
  <c r="AI151" i="1" s="1"/>
  <c r="Z64" i="1"/>
  <c r="AC64" i="1" s="1"/>
  <c r="AJ64" i="1" s="1"/>
  <c r="AC27" i="1"/>
  <c r="AJ27" i="1" s="1"/>
  <c r="Z196" i="1"/>
  <c r="AI196" i="1" s="1"/>
  <c r="Z117" i="1"/>
  <c r="AC117" i="1" s="1"/>
  <c r="AJ117" i="1" s="1"/>
  <c r="AC170" i="1"/>
  <c r="Z177" i="1"/>
  <c r="AI177" i="1" s="1"/>
  <c r="Z208" i="1"/>
  <c r="AC208" i="1" s="1"/>
  <c r="AJ208" i="1" s="1"/>
  <c r="Z123" i="1"/>
  <c r="AC123" i="1" s="1"/>
  <c r="AJ123" i="1" s="1"/>
  <c r="Z256" i="1"/>
  <c r="AC256" i="1" s="1"/>
  <c r="AJ256" i="1" s="1"/>
  <c r="Z135" i="1"/>
  <c r="AC135" i="1" s="1"/>
  <c r="AJ135" i="1" s="1"/>
  <c r="Z43" i="1"/>
  <c r="AI43" i="1" s="1"/>
  <c r="Z11" i="1"/>
  <c r="AI11" i="1" s="1"/>
  <c r="Z12" i="1"/>
  <c r="AC12" i="1" s="1"/>
  <c r="AJ12" i="1" s="1"/>
  <c r="Z144" i="1"/>
  <c r="AC144" i="1" s="1"/>
  <c r="AJ144" i="1" s="1"/>
  <c r="AG136" i="1"/>
  <c r="DM136" i="1"/>
  <c r="AG130" i="1"/>
  <c r="DM130" i="1"/>
  <c r="AG140" i="1"/>
  <c r="DM140" i="1"/>
  <c r="DO208" i="1"/>
  <c r="DP208" i="1" s="1"/>
  <c r="DN101" i="1"/>
  <c r="DO101" i="1" s="1"/>
  <c r="DP101" i="1" s="1"/>
  <c r="AJ154" i="1"/>
  <c r="DO227" i="1"/>
  <c r="DP227" i="1" s="1"/>
  <c r="DO213" i="1"/>
  <c r="DP213" i="1" s="1"/>
  <c r="DO93" i="1"/>
  <c r="DP93" i="1" s="1"/>
  <c r="DN274" i="1"/>
  <c r="DO274" i="1" s="1"/>
  <c r="DP274" i="1" s="1"/>
  <c r="DO150" i="1"/>
  <c r="DP150" i="1" s="1"/>
  <c r="DN266" i="1"/>
  <c r="DO266" i="1" s="1"/>
  <c r="DP266" i="1" s="1"/>
  <c r="AE98" i="1"/>
  <c r="DO286" i="1"/>
  <c r="DP286" i="1" s="1"/>
  <c r="AI197" i="1"/>
  <c r="AC280" i="1"/>
  <c r="AJ280" i="1" s="1"/>
  <c r="AI228" i="1"/>
  <c r="DO235" i="1"/>
  <c r="DP235" i="1" s="1"/>
  <c r="AD98" i="1"/>
  <c r="DN98" i="1" s="1"/>
  <c r="DO98" i="1" s="1"/>
  <c r="DP98" i="1" s="1"/>
  <c r="DO113" i="1"/>
  <c r="DP113" i="1" s="1"/>
  <c r="AD136" i="1"/>
  <c r="AE136" i="1"/>
  <c r="DN136" i="1" s="1"/>
  <c r="Z136" i="1"/>
  <c r="AI80" i="1"/>
  <c r="DO270" i="1"/>
  <c r="DP270" i="1" s="1"/>
  <c r="DO218" i="1"/>
  <c r="DP218" i="1" s="1"/>
  <c r="AI78" i="1"/>
  <c r="DO287" i="1"/>
  <c r="DP287" i="1" s="1"/>
  <c r="AC214" i="1"/>
  <c r="AJ214" i="1" s="1"/>
  <c r="DO48" i="1"/>
  <c r="DP48" i="1" s="1"/>
  <c r="DO123" i="1"/>
  <c r="DP123" i="1" s="1"/>
  <c r="DO206" i="1"/>
  <c r="DP206" i="1" s="1"/>
  <c r="DO56" i="1"/>
  <c r="DP56" i="1" s="1"/>
  <c r="AI77" i="1"/>
  <c r="AI279" i="1"/>
  <c r="AI251" i="1"/>
  <c r="DO37" i="1"/>
  <c r="DP37" i="1" s="1"/>
  <c r="DO106" i="1"/>
  <c r="DP106" i="1" s="1"/>
  <c r="DO50" i="1"/>
  <c r="DP50" i="1" s="1"/>
  <c r="AI291" i="1"/>
  <c r="DO84" i="1"/>
  <c r="DP84" i="1" s="1"/>
  <c r="AI223" i="1"/>
  <c r="DO228" i="1"/>
  <c r="DP228" i="1" s="1"/>
  <c r="AJ260" i="1"/>
  <c r="DO133" i="1"/>
  <c r="DP133" i="1" s="1"/>
  <c r="DO297" i="1"/>
  <c r="DP297" i="1" s="1"/>
  <c r="DO137" i="1"/>
  <c r="DP137" i="1" s="1"/>
  <c r="DO222" i="1"/>
  <c r="DP222" i="1" s="1"/>
  <c r="DO177" i="1"/>
  <c r="DP177" i="1" s="1"/>
  <c r="DO45" i="1"/>
  <c r="DP45" i="1" s="1"/>
  <c r="DO146" i="1"/>
  <c r="DP146" i="1" s="1"/>
  <c r="DO11" i="1"/>
  <c r="DP11" i="1" s="1"/>
  <c r="DO58" i="1"/>
  <c r="DP58" i="1" s="1"/>
  <c r="DO22" i="1"/>
  <c r="DP22" i="1" s="1"/>
  <c r="DO43" i="1"/>
  <c r="DP43" i="1" s="1"/>
  <c r="DO135" i="1"/>
  <c r="DP135" i="1" s="1"/>
  <c r="DO283" i="1"/>
  <c r="DP283" i="1" s="1"/>
  <c r="DO224" i="1"/>
  <c r="DP224" i="1" s="1"/>
  <c r="DO289" i="1"/>
  <c r="DP289" i="1" s="1"/>
  <c r="AI14" i="1"/>
  <c r="DO81" i="1"/>
  <c r="DP81" i="1" s="1"/>
  <c r="AI55" i="1"/>
  <c r="DO296" i="1"/>
  <c r="DP296" i="1" s="1"/>
  <c r="DO155" i="1"/>
  <c r="DP155" i="1" s="1"/>
  <c r="DO104" i="1"/>
  <c r="DP104" i="1" s="1"/>
  <c r="DO128" i="1"/>
  <c r="DP128" i="1" s="1"/>
  <c r="DO30" i="1"/>
  <c r="DP30" i="1" s="1"/>
  <c r="DO232" i="1"/>
  <c r="DP232" i="1" s="1"/>
  <c r="DO27" i="1"/>
  <c r="DP27" i="1" s="1"/>
  <c r="DO292" i="1"/>
  <c r="DP292" i="1" s="1"/>
  <c r="DO125" i="1"/>
  <c r="DP125" i="1" s="1"/>
  <c r="DO254" i="1"/>
  <c r="DP254" i="1" s="1"/>
  <c r="AI290" i="1"/>
  <c r="DO290" i="1"/>
  <c r="DP290" i="1" s="1"/>
  <c r="AI218" i="1"/>
  <c r="AI60" i="1"/>
  <c r="AI26" i="1"/>
  <c r="AI298" i="1"/>
  <c r="AC26" i="1"/>
  <c r="AJ26" i="1" s="1"/>
  <c r="AC60" i="1"/>
  <c r="DO293" i="1"/>
  <c r="DP293" i="1" s="1"/>
  <c r="AC206" i="1"/>
  <c r="AJ206" i="1" s="1"/>
  <c r="AI105" i="1"/>
  <c r="AJ249" i="1"/>
  <c r="AI233" i="1"/>
  <c r="AC20" i="1"/>
  <c r="AJ20" i="1" s="1"/>
  <c r="AI81" i="1"/>
  <c r="AJ137" i="1"/>
  <c r="AI110" i="1"/>
  <c r="DO244" i="1"/>
  <c r="DP244" i="1" s="1"/>
  <c r="DO216" i="1"/>
  <c r="DP216" i="1" s="1"/>
  <c r="DO298" i="1"/>
  <c r="DP298" i="1" s="1"/>
  <c r="DO215" i="1"/>
  <c r="DP215" i="1" s="1"/>
  <c r="AI247" i="1"/>
  <c r="DO31" i="1"/>
  <c r="DP31" i="1" s="1"/>
  <c r="DO229" i="1"/>
  <c r="DP229" i="1" s="1"/>
  <c r="AD140" i="1"/>
  <c r="AI214" i="1"/>
  <c r="DO214" i="1"/>
  <c r="DP214" i="1" s="1"/>
  <c r="DO172" i="1"/>
  <c r="DP172" i="1" s="1"/>
  <c r="AI281" i="1"/>
  <c r="DO138" i="1"/>
  <c r="DP138" i="1" s="1"/>
  <c r="DO179" i="1"/>
  <c r="DP179" i="1" s="1"/>
  <c r="DO281" i="1"/>
  <c r="DP281" i="1" s="1"/>
  <c r="DO147" i="1"/>
  <c r="DP147" i="1" s="1"/>
  <c r="DO55" i="1"/>
  <c r="DP55" i="1" s="1"/>
  <c r="DO279" i="1"/>
  <c r="DP279" i="1" s="1"/>
  <c r="DO253" i="1"/>
  <c r="DP253" i="1" s="1"/>
  <c r="DO251" i="1"/>
  <c r="DP251" i="1" s="1"/>
  <c r="AI216" i="1"/>
  <c r="DO247" i="1"/>
  <c r="DP247" i="1" s="1"/>
  <c r="AI213" i="1"/>
  <c r="DO148" i="1"/>
  <c r="DP148" i="1" s="1"/>
  <c r="DO95" i="1"/>
  <c r="DP95" i="1" s="1"/>
  <c r="DO28" i="1"/>
  <c r="DP28" i="1" s="1"/>
  <c r="AI95" i="1"/>
  <c r="AI112" i="1"/>
  <c r="DO112" i="1"/>
  <c r="DP112" i="1" s="1"/>
  <c r="AI139" i="1"/>
  <c r="DO64" i="1"/>
  <c r="DP64" i="1" s="1"/>
  <c r="DO114" i="1"/>
  <c r="DP114" i="1" s="1"/>
  <c r="DO142" i="1"/>
  <c r="DP142" i="1" s="1"/>
  <c r="DO204" i="1"/>
  <c r="DP204" i="1" s="1"/>
  <c r="DO144" i="1"/>
  <c r="DP144" i="1" s="1"/>
  <c r="AI222" i="1"/>
  <c r="AI296" i="1"/>
  <c r="DO262" i="1"/>
  <c r="DP262" i="1" s="1"/>
  <c r="DO152" i="1"/>
  <c r="DP152" i="1" s="1"/>
  <c r="AB98" i="1"/>
  <c r="AC98" i="1" s="1"/>
  <c r="AI93" i="1"/>
  <c r="DO24" i="1"/>
  <c r="DP24" i="1" s="1"/>
  <c r="Z140" i="1"/>
  <c r="DO97" i="1"/>
  <c r="DP97" i="1" s="1"/>
  <c r="DO278" i="1"/>
  <c r="DP278" i="1" s="1"/>
  <c r="AI178" i="1"/>
  <c r="DO257" i="1"/>
  <c r="DP257" i="1" s="1"/>
  <c r="AE140" i="1"/>
  <c r="DN140" i="1" s="1"/>
  <c r="AI86" i="1"/>
  <c r="AC222" i="1"/>
  <c r="AJ222" i="1" s="1"/>
  <c r="DO26" i="1"/>
  <c r="DP26" i="1" s="1"/>
  <c r="AI181" i="1"/>
  <c r="DO169" i="1"/>
  <c r="DP169" i="1" s="1"/>
  <c r="DO203" i="1"/>
  <c r="DP203" i="1" s="1"/>
  <c r="DO195" i="1"/>
  <c r="DP195" i="1" s="1"/>
  <c r="DO234" i="1"/>
  <c r="DP234" i="1" s="1"/>
  <c r="AI127" i="1"/>
  <c r="DO223" i="1"/>
  <c r="DP223" i="1" s="1"/>
  <c r="DO41" i="1"/>
  <c r="DP41" i="1" s="1"/>
  <c r="AI106" i="1"/>
  <c r="DO284" i="1"/>
  <c r="DP284" i="1" s="1"/>
  <c r="DO252" i="1"/>
  <c r="DP252" i="1" s="1"/>
  <c r="DO183" i="1"/>
  <c r="DP183" i="1" s="1"/>
  <c r="DO129" i="1"/>
  <c r="DP129" i="1" s="1"/>
  <c r="DO44" i="1"/>
  <c r="DP44" i="1" s="1"/>
  <c r="AI235" i="1"/>
  <c r="AC59" i="1"/>
  <c r="AJ59" i="1" s="1"/>
  <c r="AI289" i="1"/>
  <c r="AI126" i="1"/>
  <c r="DO178" i="1"/>
  <c r="DP178" i="1" s="1"/>
  <c r="DO250" i="1"/>
  <c r="DP250" i="1" s="1"/>
  <c r="DO158" i="1"/>
  <c r="DP158" i="1" s="1"/>
  <c r="DO181" i="1"/>
  <c r="DP181" i="1" s="1"/>
  <c r="DO19" i="1"/>
  <c r="DP19" i="1" s="1"/>
  <c r="DO219" i="1"/>
  <c r="DP219" i="1" s="1"/>
  <c r="AI257" i="1"/>
  <c r="AC84" i="1"/>
  <c r="AJ84" i="1" s="1"/>
  <c r="AI284" i="1"/>
  <c r="AI50" i="1"/>
  <c r="DO139" i="1"/>
  <c r="DP139" i="1" s="1"/>
  <c r="DO61" i="1"/>
  <c r="DP61" i="1" s="1"/>
  <c r="DO156" i="1"/>
  <c r="DP156" i="1" s="1"/>
  <c r="DO85" i="1"/>
  <c r="DP85" i="1" s="1"/>
  <c r="DO126" i="1"/>
  <c r="DP126" i="1" s="1"/>
  <c r="DO86" i="1"/>
  <c r="DP86" i="1" s="1"/>
  <c r="AC101" i="1"/>
  <c r="AJ101" i="1" s="1"/>
  <c r="AI227" i="1"/>
  <c r="AI156" i="1"/>
  <c r="AI158" i="1"/>
  <c r="DO79" i="1"/>
  <c r="DP79" i="1" s="1"/>
  <c r="DO107" i="1"/>
  <c r="DP107" i="1" s="1"/>
  <c r="AI278" i="1"/>
  <c r="AI244" i="1"/>
  <c r="DO205" i="1"/>
  <c r="DP205" i="1" s="1"/>
  <c r="DO282" i="1"/>
  <c r="DP282" i="1" s="1"/>
  <c r="DO80" i="1"/>
  <c r="DP80" i="1" s="1"/>
  <c r="AI234" i="1"/>
  <c r="AI292" i="1"/>
  <c r="C292" i="1" s="1"/>
  <c r="G292" i="1" s="1"/>
  <c r="AC178" i="1"/>
  <c r="AJ178" i="1" s="1"/>
  <c r="AC247" i="1"/>
  <c r="AJ247" i="1" s="1"/>
  <c r="AI299" i="1"/>
  <c r="AI34" i="1"/>
  <c r="AI129" i="1"/>
  <c r="AI252" i="1"/>
  <c r="AC185" i="1"/>
  <c r="AJ185" i="1" s="1"/>
  <c r="AI185" i="1"/>
  <c r="AI147" i="1"/>
  <c r="AI297" i="1"/>
  <c r="C297" i="1" s="1"/>
  <c r="G297" i="1" s="1"/>
  <c r="AI184" i="1"/>
  <c r="AI145" i="1"/>
  <c r="DO241" i="1"/>
  <c r="DP241" i="1" s="1"/>
  <c r="DO29" i="1"/>
  <c r="DP29" i="1" s="1"/>
  <c r="AC266" i="1"/>
  <c r="AJ266" i="1" s="1"/>
  <c r="AI266" i="1"/>
  <c r="AC86" i="1"/>
  <c r="AJ86" i="1" s="1"/>
  <c r="DO46" i="1"/>
  <c r="DP46" i="1" s="1"/>
  <c r="DO237" i="1"/>
  <c r="DP237" i="1" s="1"/>
  <c r="AJ114" i="1"/>
  <c r="DO184" i="1"/>
  <c r="DP184" i="1" s="1"/>
  <c r="AJ34" i="1"/>
  <c r="AC184" i="1"/>
  <c r="AJ184" i="1" s="1"/>
  <c r="AI204" i="1"/>
  <c r="DO100" i="1"/>
  <c r="DP100" i="1" s="1"/>
  <c r="DO103" i="1"/>
  <c r="DP103" i="1" s="1"/>
  <c r="AC197" i="1"/>
  <c r="AJ197" i="1" s="1"/>
  <c r="AC296" i="1"/>
  <c r="AJ296" i="1" s="1"/>
  <c r="D296" i="1" s="1"/>
  <c r="H296" i="1" s="1"/>
  <c r="DO243" i="1"/>
  <c r="DP243" i="1" s="1"/>
  <c r="AI255" i="1"/>
  <c r="AC223" i="1"/>
  <c r="AJ223" i="1" s="1"/>
  <c r="AI211" i="1"/>
  <c r="AI232" i="1"/>
  <c r="AI153" i="1"/>
  <c r="DO118" i="1"/>
  <c r="DP118" i="1" s="1"/>
  <c r="AI236" i="1"/>
  <c r="DO226" i="1"/>
  <c r="DP226" i="1" s="1"/>
  <c r="DO51" i="1"/>
  <c r="DP51" i="1" s="1"/>
  <c r="DO90" i="1"/>
  <c r="DP90" i="1" s="1"/>
  <c r="DO38" i="1"/>
  <c r="DP38" i="1" s="1"/>
  <c r="AI118" i="1"/>
  <c r="AI282" i="1"/>
  <c r="AI191" i="1"/>
  <c r="AI83" i="1"/>
  <c r="AI283" i="1"/>
  <c r="AC83" i="1"/>
  <c r="AJ83" i="1" s="1"/>
  <c r="AI210" i="1"/>
  <c r="AC290" i="1"/>
  <c r="AJ290" i="1" s="1"/>
  <c r="DO20" i="1"/>
  <c r="DP20" i="1" s="1"/>
  <c r="AC127" i="1"/>
  <c r="AJ127" i="1" s="1"/>
  <c r="AC225" i="1"/>
  <c r="AJ225" i="1" s="1"/>
  <c r="AJ145" i="1"/>
  <c r="DO36" i="1"/>
  <c r="DP36" i="1" s="1"/>
  <c r="AI241" i="1"/>
  <c r="AJ41" i="1"/>
  <c r="DO110" i="1"/>
  <c r="DP110" i="1" s="1"/>
  <c r="DO209" i="1"/>
  <c r="DP209" i="1" s="1"/>
  <c r="DO233" i="1"/>
  <c r="DP233" i="1" s="1"/>
  <c r="Z32" i="1"/>
  <c r="AC32" i="1" s="1"/>
  <c r="AJ32" i="1" s="1"/>
  <c r="DO33" i="1"/>
  <c r="DP33" i="1" s="1"/>
  <c r="DO285" i="1"/>
  <c r="DP285" i="1" s="1"/>
  <c r="DO82" i="1"/>
  <c r="DP82" i="1" s="1"/>
  <c r="DO149" i="1"/>
  <c r="DP149" i="1" s="1"/>
  <c r="DO210" i="1"/>
  <c r="DP210" i="1" s="1"/>
  <c r="AI91" i="1"/>
  <c r="AI79" i="1"/>
  <c r="AC158" i="1"/>
  <c r="AJ158" i="1" s="1"/>
  <c r="AC211" i="1"/>
  <c r="AJ211" i="1" s="1"/>
  <c r="DO249" i="1"/>
  <c r="DP249" i="1" s="1"/>
  <c r="AI104" i="1"/>
  <c r="AC95" i="1"/>
  <c r="AJ95" i="1" s="1"/>
  <c r="AC181" i="1"/>
  <c r="AJ181" i="1" s="1"/>
  <c r="AI99" i="1"/>
  <c r="AC105" i="1"/>
  <c r="AJ105" i="1" s="1"/>
  <c r="AC78" i="1"/>
  <c r="AJ78" i="1" s="1"/>
  <c r="AI152" i="1"/>
  <c r="AI115" i="1"/>
  <c r="AI61" i="1"/>
  <c r="DO25" i="1"/>
  <c r="DP25" i="1" s="1"/>
  <c r="DO191" i="1"/>
  <c r="DP191" i="1" s="1"/>
  <c r="AI287" i="1"/>
  <c r="AC281" i="1"/>
  <c r="AJ281" i="1" s="1"/>
  <c r="AI149" i="1"/>
  <c r="DO221" i="1"/>
  <c r="DP221" i="1" s="1"/>
  <c r="DO21" i="1"/>
  <c r="DP21" i="1" s="1"/>
  <c r="AI260" i="1"/>
  <c r="DO94" i="1"/>
  <c r="DP94" i="1" s="1"/>
  <c r="DO117" i="1"/>
  <c r="DP117" i="1" s="1"/>
  <c r="DO99" i="1"/>
  <c r="DP99" i="1" s="1"/>
  <c r="DO78" i="1"/>
  <c r="DP78" i="1" s="1"/>
  <c r="DO236" i="1"/>
  <c r="DP236" i="1" s="1"/>
  <c r="DO108" i="1"/>
  <c r="DP108" i="1" s="1"/>
  <c r="DO294" i="1"/>
  <c r="DP294" i="1" s="1"/>
  <c r="AC112" i="1"/>
  <c r="AJ112" i="1" s="1"/>
  <c r="AI39" i="1"/>
  <c r="AI280" i="1"/>
  <c r="AJ129" i="1"/>
  <c r="AI45" i="1"/>
  <c r="AI94" i="1"/>
  <c r="AI21" i="1"/>
  <c r="DO83" i="1"/>
  <c r="DP83" i="1" s="1"/>
  <c r="DO255" i="1"/>
  <c r="DP255" i="1" s="1"/>
  <c r="DO299" i="1"/>
  <c r="DP299" i="1" s="1"/>
  <c r="DO34" i="1"/>
  <c r="DP34" i="1" s="1"/>
  <c r="DO145" i="1"/>
  <c r="DP145" i="1" s="1"/>
  <c r="AI116" i="1"/>
  <c r="AI22" i="1"/>
  <c r="AC283" i="1"/>
  <c r="AJ283" i="1" s="1"/>
  <c r="AI23" i="1"/>
  <c r="AI137" i="1"/>
  <c r="DO180" i="1"/>
  <c r="DP180" i="1" s="1"/>
  <c r="DO116" i="1"/>
  <c r="DP116" i="1" s="1"/>
  <c r="AI202" i="1"/>
  <c r="DO277" i="1"/>
  <c r="DP277" i="1" s="1"/>
  <c r="DO271" i="1"/>
  <c r="DP271" i="1" s="1"/>
  <c r="DO202" i="1"/>
  <c r="DP202" i="1" s="1"/>
  <c r="DO211" i="1"/>
  <c r="DP211" i="1" s="1"/>
  <c r="DO154" i="1"/>
  <c r="DP154" i="1" s="1"/>
  <c r="DO187" i="1"/>
  <c r="DP187" i="1" s="1"/>
  <c r="DO91" i="1"/>
  <c r="DP91" i="1" s="1"/>
  <c r="AI46" i="1"/>
  <c r="DO105" i="1"/>
  <c r="DP105" i="1" s="1"/>
  <c r="DO280" i="1"/>
  <c r="DP280" i="1" s="1"/>
  <c r="DO151" i="1"/>
  <c r="DP151" i="1" s="1"/>
  <c r="DO240" i="1"/>
  <c r="DP240" i="1" s="1"/>
  <c r="AI154" i="1"/>
  <c r="DO77" i="1"/>
  <c r="DP77" i="1" s="1"/>
  <c r="AI29" i="1"/>
  <c r="AC29" i="1"/>
  <c r="AJ29" i="1" s="1"/>
  <c r="AC153" i="1"/>
  <c r="AJ153" i="1" s="1"/>
  <c r="AI90" i="1"/>
  <c r="AI237" i="1"/>
  <c r="AC61" i="1"/>
  <c r="AJ61" i="1" s="1"/>
  <c r="AI183" i="1"/>
  <c r="AI107" i="1"/>
  <c r="AI27" i="1"/>
  <c r="AI293" i="1"/>
  <c r="AI114" i="1"/>
  <c r="AI249" i="1"/>
  <c r="AI286" i="1"/>
  <c r="AC216" i="1"/>
  <c r="AJ216" i="1" s="1"/>
  <c r="DO260" i="1"/>
  <c r="DP260" i="1" s="1"/>
  <c r="DO153" i="1"/>
  <c r="DP153" i="1" s="1"/>
  <c r="AC156" i="1"/>
  <c r="AJ156" i="1" s="1"/>
  <c r="AI56" i="1"/>
  <c r="AC46" i="1"/>
  <c r="AJ46" i="1" s="1"/>
  <c r="DO127" i="1"/>
  <c r="DP127" i="1" s="1"/>
  <c r="DO238" i="1"/>
  <c r="DP238" i="1" s="1"/>
  <c r="DO23" i="1"/>
  <c r="DP23" i="1" s="1"/>
  <c r="AI134" i="1"/>
  <c r="DO185" i="1"/>
  <c r="DP185" i="1" s="1"/>
  <c r="AJ90" i="1"/>
  <c r="AI248" i="1"/>
  <c r="AC63" i="1"/>
  <c r="AI277" i="1"/>
  <c r="AI206" i="1"/>
  <c r="AI37" i="1"/>
  <c r="AI92" i="1"/>
  <c r="DO12" i="1"/>
  <c r="DP12" i="1" s="1"/>
  <c r="AI226" i="1"/>
  <c r="DO258" i="1"/>
  <c r="DP258" i="1" s="1"/>
  <c r="AI285" i="1"/>
  <c r="DO14" i="1"/>
  <c r="DP14" i="1" s="1"/>
  <c r="DO92" i="1"/>
  <c r="DP92" i="1" s="1"/>
  <c r="DO39" i="1"/>
  <c r="DP39" i="1" s="1"/>
  <c r="DO134" i="1"/>
  <c r="DP134" i="1" s="1"/>
  <c r="DO13" i="1"/>
  <c r="DP13" i="1" s="1"/>
  <c r="DO159" i="1"/>
  <c r="DP159" i="1" s="1"/>
  <c r="AI133" i="1"/>
  <c r="AI271" i="1"/>
  <c r="AI47" i="1"/>
  <c r="AI108" i="1"/>
  <c r="DO173" i="1"/>
  <c r="DP173" i="1" s="1"/>
  <c r="AI262" i="1"/>
  <c r="AI189" i="1"/>
  <c r="AC139" i="1"/>
  <c r="AJ139" i="1" s="1"/>
  <c r="AI150" i="1"/>
  <c r="DO288" i="1"/>
  <c r="DP288" i="1" s="1"/>
  <c r="DO192" i="1"/>
  <c r="DP192" i="1" s="1"/>
  <c r="DO54" i="1"/>
  <c r="DP54" i="1" s="1"/>
  <c r="DO65" i="1"/>
  <c r="DP65" i="1" s="1"/>
  <c r="DO197" i="1"/>
  <c r="DP197" i="1" s="1"/>
  <c r="DO157" i="1"/>
  <c r="DP157" i="1" s="1"/>
  <c r="AI148" i="1"/>
  <c r="DO248" i="1"/>
  <c r="DP248" i="1" s="1"/>
  <c r="AI25" i="1"/>
  <c r="DO261" i="1"/>
  <c r="DP261" i="1" s="1"/>
  <c r="AI195" i="1"/>
  <c r="AC148" i="1"/>
  <c r="AJ148" i="1" s="1"/>
  <c r="AI288" i="1"/>
  <c r="AI65" i="1"/>
  <c r="DO47" i="1"/>
  <c r="DP47" i="1" s="1"/>
  <c r="DO49" i="1"/>
  <c r="DP49" i="1" s="1"/>
  <c r="DO115" i="1"/>
  <c r="DP115" i="1" s="1"/>
  <c r="AI58" i="1"/>
  <c r="AI51" i="1"/>
  <c r="AC92" i="1"/>
  <c r="AJ92" i="1" s="1"/>
  <c r="AI192" i="1"/>
  <c r="AI19" i="1"/>
  <c r="AI84" i="1"/>
  <c r="AI142" i="1"/>
  <c r="AI125" i="1"/>
  <c r="AC189" i="1"/>
  <c r="AJ189" i="1" s="1"/>
  <c r="AI180" i="1"/>
  <c r="AI31" i="1"/>
  <c r="AI97" i="1"/>
  <c r="AI157" i="1"/>
  <c r="AC39" i="1"/>
  <c r="AJ39" i="1" s="1"/>
  <c r="AE130" i="1"/>
  <c r="DN130" i="1" s="1"/>
  <c r="AD130" i="1"/>
  <c r="DO182" i="1"/>
  <c r="DP182" i="1" s="1"/>
  <c r="Z130" i="1"/>
  <c r="AI203" i="1"/>
  <c r="AI54" i="1"/>
  <c r="AI103" i="1"/>
  <c r="AI41" i="1"/>
  <c r="AI207" i="1"/>
  <c r="AI38" i="1"/>
  <c r="AC53" i="1"/>
  <c r="AJ53" i="1" s="1"/>
  <c r="DO291" i="1"/>
  <c r="DP291" i="1" s="1"/>
  <c r="DO111" i="1"/>
  <c r="DP111" i="1" s="1"/>
  <c r="AI20" i="1"/>
  <c r="AI48" i="1"/>
  <c r="DO190" i="1"/>
  <c r="DP190" i="1" s="1"/>
  <c r="AI187" i="1"/>
  <c r="AI182" i="1"/>
  <c r="DO194" i="1"/>
  <c r="DP194" i="1" s="1"/>
  <c r="AI225" i="1"/>
  <c r="AI44" i="1"/>
  <c r="AI176" i="1"/>
  <c r="AI146" i="1"/>
  <c r="AI261" i="1"/>
  <c r="DO102" i="1"/>
  <c r="DP102" i="1" s="1"/>
  <c r="DO256" i="1"/>
  <c r="DP256" i="1" s="1"/>
  <c r="DO207" i="1"/>
  <c r="DP207" i="1" s="1"/>
  <c r="DO220" i="1"/>
  <c r="DP220" i="1" s="1"/>
  <c r="AJ69" i="1"/>
  <c r="AJ182" i="1"/>
  <c r="AI243" i="1"/>
  <c r="AC38" i="1"/>
  <c r="AJ38" i="1" s="1"/>
  <c r="DO57" i="1"/>
  <c r="DP57" i="1" s="1"/>
  <c r="DO35" i="1"/>
  <c r="DP35" i="1" s="1"/>
  <c r="DO189" i="1"/>
  <c r="DP189" i="1" s="1"/>
  <c r="DO32" i="1"/>
  <c r="DP32" i="1" s="1"/>
  <c r="AJ174" i="1"/>
  <c r="C8" i="1"/>
  <c r="G8" i="1" s="1"/>
  <c r="AI69" i="1"/>
  <c r="DO176" i="1"/>
  <c r="DP176" i="1" s="1"/>
  <c r="DO15" i="1"/>
  <c r="DP15" i="1" s="1"/>
  <c r="DO109" i="1"/>
  <c r="DP109" i="1" s="1"/>
  <c r="AC271" i="1"/>
  <c r="AJ271" i="1" s="1"/>
  <c r="AI57" i="1"/>
  <c r="AI111" i="1"/>
  <c r="AC106" i="1"/>
  <c r="AJ106" i="1" s="1"/>
  <c r="AI174" i="1"/>
  <c r="AJ47" i="1"/>
  <c r="AI205" i="1"/>
  <c r="DO217" i="1"/>
  <c r="DP217" i="1" s="1"/>
  <c r="AI224" i="1"/>
  <c r="DO174" i="1"/>
  <c r="DP174" i="1" s="1"/>
  <c r="DO143" i="1"/>
  <c r="DP143" i="1" s="1"/>
  <c r="AC21" i="1"/>
  <c r="AJ21" i="1" s="1"/>
  <c r="AC282" i="1"/>
  <c r="AJ282" i="1" s="1"/>
  <c r="AI172" i="1"/>
  <c r="DO69" i="1"/>
  <c r="DP69" i="1" s="1"/>
  <c r="DO40" i="1"/>
  <c r="DP40" i="1" s="1"/>
  <c r="DO96" i="1"/>
  <c r="DP96" i="1" s="1"/>
  <c r="DO175" i="1"/>
  <c r="DP175" i="1" s="1"/>
  <c r="AC35" i="1"/>
  <c r="AJ35" i="1" s="1"/>
  <c r="AI35" i="1"/>
  <c r="AI217" i="1"/>
  <c r="AC217" i="1"/>
  <c r="AJ217" i="1" s="1"/>
  <c r="AC274" i="1"/>
  <c r="AJ274" i="1" s="1"/>
  <c r="AI274" i="1"/>
  <c r="AI96" i="1"/>
  <c r="AC96" i="1"/>
  <c r="AJ96" i="1" s="1"/>
  <c r="AI40" i="1"/>
  <c r="AC40" i="1"/>
  <c r="AJ40" i="1" s="1"/>
  <c r="AI101" i="1"/>
  <c r="AI143" i="1"/>
  <c r="AC143" i="1"/>
  <c r="AJ143" i="1" s="1"/>
  <c r="AC175" i="1"/>
  <c r="AJ175" i="1" s="1"/>
  <c r="AI175" i="1"/>
  <c r="AI49" i="1"/>
  <c r="AC49" i="1"/>
  <c r="AJ49" i="1" s="1"/>
  <c r="AC100" i="1"/>
  <c r="AJ100" i="1" s="1"/>
  <c r="AI100" i="1"/>
  <c r="DO196" i="1"/>
  <c r="DP196" i="1" s="1"/>
  <c r="DO42" i="1"/>
  <c r="DP42" i="1" s="1"/>
  <c r="AI141" i="1"/>
  <c r="AC141" i="1"/>
  <c r="AJ141" i="1" s="1"/>
  <c r="AI229" i="1"/>
  <c r="AC229" i="1"/>
  <c r="AJ229" i="1" s="1"/>
  <c r="AI220" i="1"/>
  <c r="AC220" i="1"/>
  <c r="AJ220" i="1" s="1"/>
  <c r="AI270" i="1"/>
  <c r="AC270" i="1"/>
  <c r="AJ270" i="1" s="1"/>
  <c r="AI109" i="1"/>
  <c r="AC109" i="1"/>
  <c r="AJ109" i="1" s="1"/>
  <c r="AI219" i="1"/>
  <c r="AC219" i="1"/>
  <c r="AJ219" i="1" s="1"/>
  <c r="AC42" i="1"/>
  <c r="AJ42" i="1" s="1"/>
  <c r="AI42" i="1"/>
  <c r="AI238" i="1"/>
  <c r="AC238" i="1"/>
  <c r="AJ238" i="1" s="1"/>
  <c r="AI294" i="1"/>
  <c r="C294" i="1" s="1"/>
  <c r="G294" i="1" s="1"/>
  <c r="AI128" i="1"/>
  <c r="AC128" i="1"/>
  <c r="AJ128" i="1" s="1"/>
  <c r="DO193" i="1"/>
  <c r="DP193" i="1" s="1"/>
  <c r="AI30" i="1"/>
  <c r="AC30" i="1"/>
  <c r="AJ30" i="1" s="1"/>
  <c r="AI194" i="1"/>
  <c r="AI15" i="1"/>
  <c r="AC15" i="1"/>
  <c r="AJ15" i="1" s="1"/>
  <c r="AI113" i="1"/>
  <c r="AC113" i="1"/>
  <c r="AJ113" i="1" s="1"/>
  <c r="AI258" i="1"/>
  <c r="AC258" i="1"/>
  <c r="AJ258" i="1" s="1"/>
  <c r="AC193" i="1"/>
  <c r="AJ193" i="1" s="1"/>
  <c r="AI193" i="1"/>
  <c r="AI102" i="1"/>
  <c r="AC102" i="1"/>
  <c r="AJ102" i="1" s="1"/>
  <c r="AI155" i="1"/>
  <c r="AC155" i="1"/>
  <c r="AJ155" i="1" s="1"/>
  <c r="DO141" i="1"/>
  <c r="DP141" i="1" s="1"/>
  <c r="C296" i="1" l="1"/>
  <c r="G296" i="1" s="1"/>
  <c r="C293" i="1"/>
  <c r="G293" i="1" s="1"/>
  <c r="D297" i="1"/>
  <c r="H297" i="1" s="1"/>
  <c r="D294" i="1"/>
  <c r="H294" i="1" s="1"/>
  <c r="C291" i="1"/>
  <c r="G291" i="1" s="1"/>
  <c r="D299" i="1"/>
  <c r="H299" i="1" s="1"/>
  <c r="D298" i="1"/>
  <c r="H298" i="1" s="1"/>
  <c r="D292" i="1"/>
  <c r="H292" i="1" s="1"/>
  <c r="C299" i="1"/>
  <c r="G299" i="1" s="1"/>
  <c r="C298" i="1"/>
  <c r="G298" i="1" s="1"/>
  <c r="D293" i="1"/>
  <c r="H293" i="1" s="1"/>
  <c r="D291" i="1"/>
  <c r="H291" i="1" s="1"/>
  <c r="D225" i="1"/>
  <c r="H225" i="1" s="1"/>
  <c r="C225" i="1"/>
  <c r="G225" i="1" s="1"/>
  <c r="AI62" i="1"/>
  <c r="C62" i="1" s="1"/>
  <c r="G62" i="1" s="1"/>
  <c r="AJ63" i="1"/>
  <c r="D63" i="1" s="1"/>
  <c r="H63" i="1" s="1"/>
  <c r="AI190" i="1"/>
  <c r="C190" i="1" s="1"/>
  <c r="G190" i="1" s="1"/>
  <c r="AJ170" i="1"/>
  <c r="D170" i="1" s="1"/>
  <c r="H170" i="1" s="1"/>
  <c r="AJ60" i="1"/>
  <c r="D60" i="1" s="1"/>
  <c r="H60" i="1" s="1"/>
  <c r="AC138" i="1"/>
  <c r="AJ138" i="1" s="1"/>
  <c r="D138" i="1" s="1"/>
  <c r="H138" i="1" s="1"/>
  <c r="AC36" i="1"/>
  <c r="AJ36" i="1" s="1"/>
  <c r="D36" i="1" s="1"/>
  <c r="H36" i="1" s="1"/>
  <c r="AI240" i="1"/>
  <c r="C240" i="1" s="1"/>
  <c r="G240" i="1" s="1"/>
  <c r="AI9" i="1"/>
  <c r="C9" i="1" s="1"/>
  <c r="G9" i="1" s="1"/>
  <c r="AI253" i="1"/>
  <c r="C253" i="1" s="1"/>
  <c r="G253" i="1" s="1"/>
  <c r="AI215" i="1"/>
  <c r="C215" i="1" s="1"/>
  <c r="G215" i="1" s="1"/>
  <c r="AI250" i="1"/>
  <c r="C250" i="1" s="1"/>
  <c r="G250" i="1" s="1"/>
  <c r="AI28" i="1"/>
  <c r="C28" i="1" s="1"/>
  <c r="G28" i="1" s="1"/>
  <c r="AC43" i="1"/>
  <c r="AJ43" i="1" s="1"/>
  <c r="D43" i="1" s="1"/>
  <c r="H43" i="1" s="1"/>
  <c r="AI33" i="1"/>
  <c r="C33" i="1" s="1"/>
  <c r="G33" i="1" s="1"/>
  <c r="AC159" i="1"/>
  <c r="AJ159" i="1" s="1"/>
  <c r="D159" i="1" s="1"/>
  <c r="H159" i="1" s="1"/>
  <c r="AI254" i="1"/>
  <c r="C254" i="1" s="1"/>
  <c r="G254" i="1" s="1"/>
  <c r="AC179" i="1"/>
  <c r="AJ179" i="1" s="1"/>
  <c r="D179" i="1" s="1"/>
  <c r="H179" i="1" s="1"/>
  <c r="AI169" i="1"/>
  <c r="C169" i="1" s="1"/>
  <c r="G169" i="1" s="1"/>
  <c r="AI85" i="1"/>
  <c r="C85" i="1" s="1"/>
  <c r="G85" i="1" s="1"/>
  <c r="AC177" i="1"/>
  <c r="AJ177" i="1" s="1"/>
  <c r="D177" i="1" s="1"/>
  <c r="H177" i="1" s="1"/>
  <c r="AI144" i="1"/>
  <c r="C144" i="1" s="1"/>
  <c r="G144" i="1" s="1"/>
  <c r="AI209" i="1"/>
  <c r="C209" i="1" s="1"/>
  <c r="G209" i="1" s="1"/>
  <c r="AI24" i="1"/>
  <c r="C24" i="1" s="1"/>
  <c r="G24" i="1" s="1"/>
  <c r="AC82" i="1"/>
  <c r="AJ82" i="1" s="1"/>
  <c r="D82" i="1" s="1"/>
  <c r="H82" i="1" s="1"/>
  <c r="AI64" i="1"/>
  <c r="C64" i="1" s="1"/>
  <c r="G64" i="1" s="1"/>
  <c r="AI13" i="1"/>
  <c r="C13" i="1" s="1"/>
  <c r="G13" i="1" s="1"/>
  <c r="AI208" i="1"/>
  <c r="C208" i="1" s="1"/>
  <c r="G208" i="1" s="1"/>
  <c r="AI221" i="1"/>
  <c r="C221" i="1" s="1"/>
  <c r="G221" i="1" s="1"/>
  <c r="AC196" i="1"/>
  <c r="AJ196" i="1" s="1"/>
  <c r="D196" i="1" s="1"/>
  <c r="H196" i="1" s="1"/>
  <c r="AI173" i="1"/>
  <c r="C173" i="1" s="1"/>
  <c r="G173" i="1" s="1"/>
  <c r="AC136" i="1"/>
  <c r="AJ136" i="1" s="1"/>
  <c r="AI117" i="1"/>
  <c r="C117" i="1" s="1"/>
  <c r="G117" i="1" s="1"/>
  <c r="AC151" i="1"/>
  <c r="AJ151" i="1" s="1"/>
  <c r="D151" i="1" s="1"/>
  <c r="H151" i="1" s="1"/>
  <c r="AC11" i="1"/>
  <c r="AJ11" i="1" s="1"/>
  <c r="D11" i="1" s="1"/>
  <c r="H11" i="1" s="1"/>
  <c r="AI123" i="1"/>
  <c r="C123" i="1" s="1"/>
  <c r="G123" i="1" s="1"/>
  <c r="AI256" i="1"/>
  <c r="C256" i="1" s="1"/>
  <c r="G256" i="1" s="1"/>
  <c r="AI12" i="1"/>
  <c r="C12" i="1" s="1"/>
  <c r="G12" i="1" s="1"/>
  <c r="AI135" i="1"/>
  <c r="C135" i="1" s="1"/>
  <c r="G135" i="1" s="1"/>
  <c r="D208" i="1"/>
  <c r="H208" i="1" s="1"/>
  <c r="D235" i="1"/>
  <c r="H235" i="1" s="1"/>
  <c r="D197" i="1"/>
  <c r="H197" i="1" s="1"/>
  <c r="C197" i="1"/>
  <c r="G197" i="1" s="1"/>
  <c r="D227" i="1"/>
  <c r="H227" i="1" s="1"/>
  <c r="D93" i="1"/>
  <c r="H93" i="1" s="1"/>
  <c r="C93" i="1"/>
  <c r="G93" i="1" s="1"/>
  <c r="C227" i="1"/>
  <c r="G227" i="1" s="1"/>
  <c r="D213" i="1"/>
  <c r="H213" i="1" s="1"/>
  <c r="C213" i="1"/>
  <c r="G213" i="1" s="1"/>
  <c r="D286" i="1"/>
  <c r="H286" i="1" s="1"/>
  <c r="D250" i="1"/>
  <c r="H250" i="1" s="1"/>
  <c r="C86" i="1"/>
  <c r="G86" i="1" s="1"/>
  <c r="D147" i="1"/>
  <c r="H147" i="1" s="1"/>
  <c r="C178" i="1"/>
  <c r="G178" i="1" s="1"/>
  <c r="C150" i="1"/>
  <c r="G150" i="1" s="1"/>
  <c r="C234" i="1"/>
  <c r="G234" i="1" s="1"/>
  <c r="DO136" i="1"/>
  <c r="DP136" i="1" s="1"/>
  <c r="D284" i="1"/>
  <c r="H284" i="1" s="1"/>
  <c r="C235" i="1"/>
  <c r="G235" i="1" s="1"/>
  <c r="D169" i="1"/>
  <c r="H169" i="1" s="1"/>
  <c r="D150" i="1"/>
  <c r="H150" i="1" s="1"/>
  <c r="D287" i="1"/>
  <c r="H287" i="1" s="1"/>
  <c r="C287" i="1"/>
  <c r="G287" i="1" s="1"/>
  <c r="C55" i="1"/>
  <c r="G55" i="1" s="1"/>
  <c r="C251" i="1"/>
  <c r="G251" i="1" s="1"/>
  <c r="C266" i="1"/>
  <c r="G266" i="1" s="1"/>
  <c r="AJ98" i="1"/>
  <c r="D98" i="1" s="1"/>
  <c r="H98" i="1" s="1"/>
  <c r="C270" i="1"/>
  <c r="G270" i="1" s="1"/>
  <c r="C286" i="1"/>
  <c r="G286" i="1" s="1"/>
  <c r="D244" i="1"/>
  <c r="H244" i="1" s="1"/>
  <c r="C228" i="1"/>
  <c r="G228" i="1" s="1"/>
  <c r="D50" i="1"/>
  <c r="H50" i="1" s="1"/>
  <c r="D135" i="1"/>
  <c r="H135" i="1" s="1"/>
  <c r="C43" i="1"/>
  <c r="G43" i="1" s="1"/>
  <c r="D146" i="1"/>
  <c r="H146" i="1" s="1"/>
  <c r="D270" i="1"/>
  <c r="H270" i="1" s="1"/>
  <c r="D56" i="1"/>
  <c r="H56" i="1" s="1"/>
  <c r="C177" i="1"/>
  <c r="G177" i="1" s="1"/>
  <c r="C283" i="1"/>
  <c r="G283" i="1" s="1"/>
  <c r="C37" i="1"/>
  <c r="G37" i="1" s="1"/>
  <c r="C56" i="1"/>
  <c r="G56" i="1" s="1"/>
  <c r="D30" i="1"/>
  <c r="H30" i="1" s="1"/>
  <c r="C48" i="1"/>
  <c r="G48" i="1" s="1"/>
  <c r="C133" i="1"/>
  <c r="G133" i="1" s="1"/>
  <c r="C113" i="1"/>
  <c r="G113" i="1" s="1"/>
  <c r="C80" i="1"/>
  <c r="G80" i="1" s="1"/>
  <c r="D218" i="1"/>
  <c r="H218" i="1" s="1"/>
  <c r="D113" i="1"/>
  <c r="H113" i="1" s="1"/>
  <c r="AI136" i="1"/>
  <c r="D37" i="1"/>
  <c r="H37" i="1" s="1"/>
  <c r="C139" i="1"/>
  <c r="G139" i="1" s="1"/>
  <c r="D48" i="1"/>
  <c r="H48" i="1" s="1"/>
  <c r="C206" i="1"/>
  <c r="G206" i="1" s="1"/>
  <c r="C50" i="1"/>
  <c r="G50" i="1" s="1"/>
  <c r="D206" i="1"/>
  <c r="H206" i="1" s="1"/>
  <c r="C31" i="1"/>
  <c r="G31" i="1" s="1"/>
  <c r="C58" i="1"/>
  <c r="G58" i="1" s="1"/>
  <c r="D84" i="1"/>
  <c r="H84" i="1" s="1"/>
  <c r="D45" i="1"/>
  <c r="H45" i="1" s="1"/>
  <c r="C218" i="1"/>
  <c r="G218" i="1" s="1"/>
  <c r="C279" i="1"/>
  <c r="G279" i="1" s="1"/>
  <c r="C14" i="1"/>
  <c r="G14" i="1" s="1"/>
  <c r="D125" i="1"/>
  <c r="H125" i="1" s="1"/>
  <c r="C11" i="1"/>
  <c r="G11" i="1" s="1"/>
  <c r="D228" i="1"/>
  <c r="H228" i="1" s="1"/>
  <c r="C138" i="1"/>
  <c r="G138" i="1" s="1"/>
  <c r="C110" i="1"/>
  <c r="G110" i="1" s="1"/>
  <c r="D285" i="1"/>
  <c r="H285" i="1" s="1"/>
  <c r="C77" i="1"/>
  <c r="G77" i="1" s="1"/>
  <c r="D123" i="1"/>
  <c r="H123" i="1" s="1"/>
  <c r="C60" i="1"/>
  <c r="G60" i="1" s="1"/>
  <c r="D106" i="1"/>
  <c r="H106" i="1" s="1"/>
  <c r="C106" i="1"/>
  <c r="G106" i="1" s="1"/>
  <c r="C84" i="1"/>
  <c r="G84" i="1" s="1"/>
  <c r="D133" i="1"/>
  <c r="H133" i="1" s="1"/>
  <c r="C223" i="1"/>
  <c r="G223" i="1" s="1"/>
  <c r="D222" i="1"/>
  <c r="H222" i="1" s="1"/>
  <c r="DO140" i="1"/>
  <c r="DP140" i="1" s="1"/>
  <c r="C222" i="1"/>
  <c r="G222" i="1" s="1"/>
  <c r="D137" i="1"/>
  <c r="H137" i="1" s="1"/>
  <c r="C118" i="1"/>
  <c r="G118" i="1" s="1"/>
  <c r="C262" i="1"/>
  <c r="G262" i="1" s="1"/>
  <c r="C137" i="1"/>
  <c r="G137" i="1" s="1"/>
  <c r="C45" i="1"/>
  <c r="G45" i="1" s="1"/>
  <c r="C289" i="1"/>
  <c r="G289" i="1" s="1"/>
  <c r="D289" i="1"/>
  <c r="H289" i="1" s="1"/>
  <c r="C290" i="1"/>
  <c r="G290" i="1" s="1"/>
  <c r="C81" i="1"/>
  <c r="G81" i="1" s="1"/>
  <c r="D155" i="1"/>
  <c r="H155" i="1" s="1"/>
  <c r="C155" i="1"/>
  <c r="G155" i="1" s="1"/>
  <c r="D22" i="1"/>
  <c r="H22" i="1" s="1"/>
  <c r="C22" i="1"/>
  <c r="G22" i="1" s="1"/>
  <c r="C146" i="1"/>
  <c r="G146" i="1" s="1"/>
  <c r="D128" i="1"/>
  <c r="H128" i="1" s="1"/>
  <c r="D149" i="1"/>
  <c r="H149" i="1" s="1"/>
  <c r="C30" i="1"/>
  <c r="G30" i="1" s="1"/>
  <c r="C224" i="1"/>
  <c r="G224" i="1" s="1"/>
  <c r="D31" i="1"/>
  <c r="H31" i="1" s="1"/>
  <c r="D58" i="1"/>
  <c r="H58" i="1" s="1"/>
  <c r="D27" i="1"/>
  <c r="H27" i="1" s="1"/>
  <c r="C27" i="1"/>
  <c r="G27" i="1" s="1"/>
  <c r="D254" i="1"/>
  <c r="H254" i="1" s="1"/>
  <c r="D214" i="1"/>
  <c r="H214" i="1" s="1"/>
  <c r="C148" i="1"/>
  <c r="G148" i="1" s="1"/>
  <c r="D142" i="1"/>
  <c r="H142" i="1" s="1"/>
  <c r="C114" i="1"/>
  <c r="G114" i="1" s="1"/>
  <c r="D95" i="1"/>
  <c r="H95" i="1" s="1"/>
  <c r="C125" i="1"/>
  <c r="G125" i="1" s="1"/>
  <c r="D283" i="1"/>
  <c r="H283" i="1" s="1"/>
  <c r="C281" i="1"/>
  <c r="G281" i="1" s="1"/>
  <c r="D224" i="1"/>
  <c r="H224" i="1" s="1"/>
  <c r="D104" i="1"/>
  <c r="H104" i="1" s="1"/>
  <c r="C105" i="1"/>
  <c r="G105" i="1" s="1"/>
  <c r="C104" i="1"/>
  <c r="G104" i="1" s="1"/>
  <c r="C142" i="1"/>
  <c r="G142" i="1" s="1"/>
  <c r="C63" i="1"/>
  <c r="G63" i="1" s="1"/>
  <c r="D279" i="1"/>
  <c r="H279" i="1" s="1"/>
  <c r="D215" i="1"/>
  <c r="H215" i="1" s="1"/>
  <c r="D223" i="1"/>
  <c r="H223" i="1" s="1"/>
  <c r="D266" i="1"/>
  <c r="H266" i="1" s="1"/>
  <c r="D20" i="1"/>
  <c r="H20" i="1" s="1"/>
  <c r="C95" i="1"/>
  <c r="G95" i="1" s="1"/>
  <c r="D55" i="1"/>
  <c r="H55" i="1" s="1"/>
  <c r="C26" i="1"/>
  <c r="G26" i="1" s="1"/>
  <c r="C59" i="1"/>
  <c r="G59" i="1" s="1"/>
  <c r="D216" i="1"/>
  <c r="H216" i="1" s="1"/>
  <c r="D253" i="1"/>
  <c r="H253" i="1" s="1"/>
  <c r="C216" i="1"/>
  <c r="G216" i="1" s="1"/>
  <c r="C128" i="1"/>
  <c r="G128" i="1" s="1"/>
  <c r="D94" i="1"/>
  <c r="H94" i="1" s="1"/>
  <c r="AI98" i="1"/>
  <c r="C98" i="1" s="1"/>
  <c r="G98" i="1" s="1"/>
  <c r="D144" i="1"/>
  <c r="H144" i="1" s="1"/>
  <c r="DO130" i="1"/>
  <c r="DP130" i="1" s="1"/>
  <c r="D249" i="1"/>
  <c r="H249" i="1" s="1"/>
  <c r="C232" i="1"/>
  <c r="G232" i="1" s="1"/>
  <c r="C147" i="1"/>
  <c r="G147" i="1" s="1"/>
  <c r="D81" i="1"/>
  <c r="H81" i="1" s="1"/>
  <c r="D26" i="1"/>
  <c r="H26" i="1" s="1"/>
  <c r="C82" i="1"/>
  <c r="G82" i="1" s="1"/>
  <c r="C233" i="1"/>
  <c r="G233" i="1" s="1"/>
  <c r="D232" i="1"/>
  <c r="H232" i="1" s="1"/>
  <c r="C247" i="1"/>
  <c r="G247" i="1" s="1"/>
  <c r="D290" i="1"/>
  <c r="H290" i="1" s="1"/>
  <c r="C244" i="1"/>
  <c r="G244" i="1" s="1"/>
  <c r="AI140" i="1"/>
  <c r="D278" i="1"/>
  <c r="H278" i="1" s="1"/>
  <c r="C214" i="1"/>
  <c r="G214" i="1" s="1"/>
  <c r="D229" i="1"/>
  <c r="H229" i="1" s="1"/>
  <c r="D112" i="1"/>
  <c r="H112" i="1" s="1"/>
  <c r="C229" i="1"/>
  <c r="G229" i="1" s="1"/>
  <c r="C203" i="1"/>
  <c r="G203" i="1" s="1"/>
  <c r="D148" i="1"/>
  <c r="H148" i="1" s="1"/>
  <c r="D172" i="1"/>
  <c r="H172" i="1" s="1"/>
  <c r="C152" i="1"/>
  <c r="G152" i="1" s="1"/>
  <c r="C112" i="1"/>
  <c r="G112" i="1" s="1"/>
  <c r="D251" i="1"/>
  <c r="H251" i="1" s="1"/>
  <c r="D203" i="1"/>
  <c r="H203" i="1" s="1"/>
  <c r="C172" i="1"/>
  <c r="G172" i="1" s="1"/>
  <c r="D24" i="1"/>
  <c r="H24" i="1" s="1"/>
  <c r="AC140" i="1"/>
  <c r="AJ140" i="1" s="1"/>
  <c r="D281" i="1"/>
  <c r="H281" i="1" s="1"/>
  <c r="D274" i="1"/>
  <c r="H274" i="1" s="1"/>
  <c r="D64" i="1"/>
  <c r="H64" i="1" s="1"/>
  <c r="C195" i="1"/>
  <c r="G195" i="1" s="1"/>
  <c r="D28" i="1"/>
  <c r="H28" i="1" s="1"/>
  <c r="D204" i="1"/>
  <c r="H204" i="1" s="1"/>
  <c r="D262" i="1"/>
  <c r="H262" i="1" s="1"/>
  <c r="C274" i="1"/>
  <c r="G274" i="1" s="1"/>
  <c r="C183" i="1"/>
  <c r="G183" i="1" s="1"/>
  <c r="C204" i="1"/>
  <c r="G204" i="1" s="1"/>
  <c r="C278" i="1"/>
  <c r="G278" i="1" s="1"/>
  <c r="D114" i="1"/>
  <c r="H114" i="1" s="1"/>
  <c r="D44" i="1"/>
  <c r="H44" i="1" s="1"/>
  <c r="D257" i="1"/>
  <c r="H257" i="1" s="1"/>
  <c r="D247" i="1"/>
  <c r="H247" i="1" s="1"/>
  <c r="C41" i="1"/>
  <c r="G41" i="1" s="1"/>
  <c r="D97" i="1"/>
  <c r="H97" i="1" s="1"/>
  <c r="C97" i="1"/>
  <c r="G97" i="1" s="1"/>
  <c r="D152" i="1"/>
  <c r="H152" i="1" s="1"/>
  <c r="D129" i="1"/>
  <c r="H129" i="1" s="1"/>
  <c r="D126" i="1"/>
  <c r="H126" i="1" s="1"/>
  <c r="C181" i="1"/>
  <c r="G181" i="1" s="1"/>
  <c r="D195" i="1"/>
  <c r="H195" i="1" s="1"/>
  <c r="D252" i="1"/>
  <c r="H252" i="1" s="1"/>
  <c r="D41" i="1"/>
  <c r="H41" i="1" s="1"/>
  <c r="D118" i="1"/>
  <c r="H118" i="1" s="1"/>
  <c r="C257" i="1"/>
  <c r="G257" i="1" s="1"/>
  <c r="D234" i="1"/>
  <c r="H234" i="1" s="1"/>
  <c r="D183" i="1"/>
  <c r="H183" i="1" s="1"/>
  <c r="C284" i="1"/>
  <c r="G284" i="1" s="1"/>
  <c r="D29" i="1"/>
  <c r="H29" i="1" s="1"/>
  <c r="C241" i="1"/>
  <c r="G241" i="1" s="1"/>
  <c r="C129" i="1"/>
  <c r="G129" i="1" s="1"/>
  <c r="C252" i="1"/>
  <c r="G252" i="1" s="1"/>
  <c r="D236" i="1"/>
  <c r="H236" i="1" s="1"/>
  <c r="C44" i="1"/>
  <c r="G44" i="1" s="1"/>
  <c r="C79" i="1"/>
  <c r="G79" i="1" s="1"/>
  <c r="C126" i="1"/>
  <c r="G126" i="1" s="1"/>
  <c r="C156" i="1"/>
  <c r="G156" i="1" s="1"/>
  <c r="D107" i="1"/>
  <c r="H107" i="1" s="1"/>
  <c r="D158" i="1"/>
  <c r="H158" i="1" s="1"/>
  <c r="C219" i="1"/>
  <c r="G219" i="1" s="1"/>
  <c r="D210" i="1"/>
  <c r="H210" i="1" s="1"/>
  <c r="C158" i="1"/>
  <c r="G158" i="1" s="1"/>
  <c r="D219" i="1"/>
  <c r="H219" i="1" s="1"/>
  <c r="D156" i="1"/>
  <c r="H156" i="1" s="1"/>
  <c r="C29" i="1"/>
  <c r="G29" i="1" s="1"/>
  <c r="D184" i="1"/>
  <c r="H184" i="1" s="1"/>
  <c r="D181" i="1"/>
  <c r="H181" i="1" s="1"/>
  <c r="D178" i="1"/>
  <c r="H178" i="1" s="1"/>
  <c r="D19" i="1"/>
  <c r="H19" i="1" s="1"/>
  <c r="C19" i="1"/>
  <c r="G19" i="1" s="1"/>
  <c r="D52" i="1"/>
  <c r="H52" i="1" s="1"/>
  <c r="C61" i="1"/>
  <c r="G61" i="1" s="1"/>
  <c r="D85" i="1"/>
  <c r="H85" i="1" s="1"/>
  <c r="C52" i="1"/>
  <c r="G52" i="1" s="1"/>
  <c r="C101" i="1"/>
  <c r="G101" i="1" s="1"/>
  <c r="D21" i="1"/>
  <c r="H21" i="1" s="1"/>
  <c r="D101" i="1"/>
  <c r="H101" i="1" s="1"/>
  <c r="D139" i="1"/>
  <c r="H139" i="1" s="1"/>
  <c r="D61" i="1"/>
  <c r="H61" i="1" s="1"/>
  <c r="C107" i="1"/>
  <c r="G107" i="1" s="1"/>
  <c r="C205" i="1"/>
  <c r="G205" i="1" s="1"/>
  <c r="D110" i="1"/>
  <c r="H110" i="1" s="1"/>
  <c r="C108" i="1"/>
  <c r="G108" i="1" s="1"/>
  <c r="C21" i="1"/>
  <c r="G21" i="1" s="1"/>
  <c r="D86" i="1"/>
  <c r="H86" i="1" s="1"/>
  <c r="D33" i="1"/>
  <c r="H33" i="1" s="1"/>
  <c r="D46" i="1"/>
  <c r="H46" i="1" s="1"/>
  <c r="C36" i="1"/>
  <c r="G36" i="1" s="1"/>
  <c r="D90" i="1"/>
  <c r="H90" i="1" s="1"/>
  <c r="D79" i="1"/>
  <c r="H79" i="1" s="1"/>
  <c r="D209" i="1"/>
  <c r="H209" i="1" s="1"/>
  <c r="C159" i="1"/>
  <c r="G159" i="1" s="1"/>
  <c r="C238" i="1"/>
  <c r="G238" i="1" s="1"/>
  <c r="C285" i="1"/>
  <c r="G285" i="1" s="1"/>
  <c r="D241" i="1"/>
  <c r="H241" i="1" s="1"/>
  <c r="D237" i="1"/>
  <c r="H237" i="1" s="1"/>
  <c r="D180" i="1"/>
  <c r="H180" i="1" s="1"/>
  <c r="D205" i="1"/>
  <c r="H205" i="1" s="1"/>
  <c r="C282" i="1"/>
  <c r="G282" i="1" s="1"/>
  <c r="C151" i="1"/>
  <c r="G151" i="1" s="1"/>
  <c r="C38" i="1"/>
  <c r="G38" i="1" s="1"/>
  <c r="C237" i="1"/>
  <c r="G237" i="1" s="1"/>
  <c r="D238" i="1"/>
  <c r="H238" i="1" s="1"/>
  <c r="D282" i="1"/>
  <c r="H282" i="1" s="1"/>
  <c r="D38" i="1"/>
  <c r="H38" i="1" s="1"/>
  <c r="C103" i="1"/>
  <c r="G103" i="1" s="1"/>
  <c r="D51" i="1"/>
  <c r="H51" i="1" s="1"/>
  <c r="D233" i="1"/>
  <c r="H233" i="1" s="1"/>
  <c r="C51" i="1"/>
  <c r="G51" i="1" s="1"/>
  <c r="D80" i="1"/>
  <c r="H80" i="1" s="1"/>
  <c r="C210" i="1"/>
  <c r="G210" i="1" s="1"/>
  <c r="D103" i="1"/>
  <c r="H103" i="1" s="1"/>
  <c r="C184" i="1"/>
  <c r="G184" i="1" s="1"/>
  <c r="C236" i="1"/>
  <c r="G236" i="1" s="1"/>
  <c r="D59" i="1"/>
  <c r="H59" i="1" s="1"/>
  <c r="C46" i="1"/>
  <c r="G46" i="1" s="1"/>
  <c r="C100" i="1"/>
  <c r="G100" i="1" s="1"/>
  <c r="AI32" i="1"/>
  <c r="C32" i="1" s="1"/>
  <c r="G32" i="1" s="1"/>
  <c r="C20" i="1"/>
  <c r="G20" i="1" s="1"/>
  <c r="D243" i="1"/>
  <c r="H243" i="1" s="1"/>
  <c r="D100" i="1"/>
  <c r="H100" i="1" s="1"/>
  <c r="C243" i="1"/>
  <c r="G243" i="1" s="1"/>
  <c r="C90" i="1"/>
  <c r="G90" i="1" s="1"/>
  <c r="D187" i="1"/>
  <c r="H187" i="1" s="1"/>
  <c r="D77" i="1"/>
  <c r="H77" i="1" s="1"/>
  <c r="C226" i="1"/>
  <c r="G226" i="1" s="1"/>
  <c r="D226" i="1"/>
  <c r="H226" i="1" s="1"/>
  <c r="C94" i="1"/>
  <c r="G94" i="1" s="1"/>
  <c r="D65" i="1"/>
  <c r="H65" i="1" s="1"/>
  <c r="D23" i="1"/>
  <c r="H23" i="1" s="1"/>
  <c r="C127" i="1"/>
  <c r="G127" i="1" s="1"/>
  <c r="D280" i="1"/>
  <c r="H280" i="1" s="1"/>
  <c r="D34" i="1"/>
  <c r="H34" i="1" s="1"/>
  <c r="C255" i="1"/>
  <c r="G255" i="1" s="1"/>
  <c r="D25" i="1"/>
  <c r="H25" i="1" s="1"/>
  <c r="C170" i="1"/>
  <c r="G170" i="1" s="1"/>
  <c r="D157" i="1"/>
  <c r="H157" i="1" s="1"/>
  <c r="D192" i="1"/>
  <c r="H192" i="1" s="1"/>
  <c r="C153" i="1"/>
  <c r="G153" i="1" s="1"/>
  <c r="C91" i="1"/>
  <c r="G91" i="1" s="1"/>
  <c r="C83" i="1"/>
  <c r="G83" i="1" s="1"/>
  <c r="D108" i="1"/>
  <c r="H108" i="1" s="1"/>
  <c r="D78" i="1"/>
  <c r="H78" i="1" s="1"/>
  <c r="C53" i="1"/>
  <c r="G53" i="1" s="1"/>
  <c r="C260" i="1"/>
  <c r="G260" i="1" s="1"/>
  <c r="C39" i="1"/>
  <c r="G39" i="1" s="1"/>
  <c r="D154" i="1"/>
  <c r="H154" i="1" s="1"/>
  <c r="C211" i="1"/>
  <c r="G211" i="1" s="1"/>
  <c r="D145" i="1"/>
  <c r="H145" i="1" s="1"/>
  <c r="C191" i="1"/>
  <c r="G191" i="1" s="1"/>
  <c r="C249" i="1"/>
  <c r="G249" i="1" s="1"/>
  <c r="C149" i="1"/>
  <c r="G149" i="1" s="1"/>
  <c r="D191" i="1"/>
  <c r="H191" i="1" s="1"/>
  <c r="C115" i="1"/>
  <c r="G115" i="1" s="1"/>
  <c r="C25" i="1"/>
  <c r="G25" i="1" s="1"/>
  <c r="C99" i="1"/>
  <c r="G99" i="1" s="1"/>
  <c r="C34" i="1"/>
  <c r="G34" i="1" s="1"/>
  <c r="D116" i="1"/>
  <c r="H116" i="1" s="1"/>
  <c r="C271" i="1"/>
  <c r="G271" i="1" s="1"/>
  <c r="C7" i="1"/>
  <c r="G7" i="1" s="1"/>
  <c r="D127" i="1"/>
  <c r="H127" i="1" s="1"/>
  <c r="D14" i="1"/>
  <c r="H14" i="1" s="1"/>
  <c r="D117" i="1"/>
  <c r="H117" i="1" s="1"/>
  <c r="D271" i="1"/>
  <c r="H271" i="1" s="1"/>
  <c r="D83" i="1"/>
  <c r="H83" i="1" s="1"/>
  <c r="C78" i="1"/>
  <c r="G78" i="1" s="1"/>
  <c r="D91" i="1"/>
  <c r="H91" i="1" s="1"/>
  <c r="D105" i="1"/>
  <c r="H105" i="1" s="1"/>
  <c r="D202" i="1"/>
  <c r="H202" i="1" s="1"/>
  <c r="C258" i="1"/>
  <c r="G258" i="1" s="1"/>
  <c r="C154" i="1"/>
  <c r="G154" i="1" s="1"/>
  <c r="D221" i="1"/>
  <c r="H221" i="1" s="1"/>
  <c r="D211" i="1"/>
  <c r="H211" i="1" s="1"/>
  <c r="D62" i="1"/>
  <c r="H62" i="1" s="1"/>
  <c r="C23" i="1"/>
  <c r="G23" i="1" s="1"/>
  <c r="C145" i="1"/>
  <c r="G145" i="1" s="1"/>
  <c r="D99" i="1"/>
  <c r="H99" i="1" s="1"/>
  <c r="D134" i="1"/>
  <c r="H134" i="1" s="1"/>
  <c r="D260" i="1"/>
  <c r="H260" i="1" s="1"/>
  <c r="C187" i="1"/>
  <c r="G187" i="1" s="1"/>
  <c r="D277" i="1"/>
  <c r="H277" i="1" s="1"/>
  <c r="C180" i="1"/>
  <c r="G180" i="1" s="1"/>
  <c r="D8" i="1"/>
  <c r="H8" i="1" s="1"/>
  <c r="D12" i="1"/>
  <c r="H12" i="1" s="1"/>
  <c r="C277" i="1"/>
  <c r="G277" i="1" s="1"/>
  <c r="C192" i="1"/>
  <c r="G192" i="1" s="1"/>
  <c r="C202" i="1"/>
  <c r="G202" i="1" s="1"/>
  <c r="C116" i="1"/>
  <c r="G116" i="1" s="1"/>
  <c r="D255" i="1"/>
  <c r="H255" i="1" s="1"/>
  <c r="D185" i="1"/>
  <c r="H185" i="1" s="1"/>
  <c r="C185" i="1"/>
  <c r="G185" i="1" s="1"/>
  <c r="C280" i="1"/>
  <c r="G280" i="1" s="1"/>
  <c r="D240" i="1"/>
  <c r="H240" i="1" s="1"/>
  <c r="D7" i="1"/>
  <c r="H7" i="1" s="1"/>
  <c r="C134" i="1"/>
  <c r="G134" i="1" s="1"/>
  <c r="D153" i="1"/>
  <c r="H153" i="1" s="1"/>
  <c r="C57" i="1"/>
  <c r="G57" i="1" s="1"/>
  <c r="D13" i="1"/>
  <c r="H13" i="1" s="1"/>
  <c r="D258" i="1"/>
  <c r="H258" i="1" s="1"/>
  <c r="D57" i="1"/>
  <c r="H57" i="1" s="1"/>
  <c r="D39" i="1"/>
  <c r="H39" i="1" s="1"/>
  <c r="D173" i="1"/>
  <c r="H173" i="1" s="1"/>
  <c r="C261" i="1"/>
  <c r="G261" i="1" s="1"/>
  <c r="C182" i="1"/>
  <c r="G182" i="1" s="1"/>
  <c r="C157" i="1"/>
  <c r="G157" i="1" s="1"/>
  <c r="C288" i="1"/>
  <c r="G288" i="1" s="1"/>
  <c r="C92" i="1"/>
  <c r="G92" i="1" s="1"/>
  <c r="C194" i="1"/>
  <c r="G194" i="1" s="1"/>
  <c r="D261" i="1"/>
  <c r="H261" i="1" s="1"/>
  <c r="C189" i="1"/>
  <c r="G189" i="1" s="1"/>
  <c r="C47" i="1"/>
  <c r="G47" i="1" s="1"/>
  <c r="C65" i="1"/>
  <c r="G65" i="1" s="1"/>
  <c r="D143" i="1"/>
  <c r="H143" i="1" s="1"/>
  <c r="D190" i="1"/>
  <c r="H190" i="1" s="1"/>
  <c r="C111" i="1"/>
  <c r="G111" i="1" s="1"/>
  <c r="D288" i="1"/>
  <c r="H288" i="1" s="1"/>
  <c r="C54" i="1"/>
  <c r="G54" i="1" s="1"/>
  <c r="D54" i="1"/>
  <c r="H54" i="1" s="1"/>
  <c r="D92" i="1"/>
  <c r="H92" i="1" s="1"/>
  <c r="D32" i="1"/>
  <c r="H32" i="1" s="1"/>
  <c r="C248" i="1"/>
  <c r="G248" i="1" s="1"/>
  <c r="D194" i="1"/>
  <c r="H194" i="1" s="1"/>
  <c r="D248" i="1"/>
  <c r="H248" i="1" s="1"/>
  <c r="D111" i="1"/>
  <c r="H111" i="1" s="1"/>
  <c r="D256" i="1"/>
  <c r="H256" i="1" s="1"/>
  <c r="C35" i="1"/>
  <c r="G35" i="1" s="1"/>
  <c r="D220" i="1"/>
  <c r="H220" i="1" s="1"/>
  <c r="D35" i="1"/>
  <c r="H35" i="1" s="1"/>
  <c r="D115" i="1"/>
  <c r="H115" i="1" s="1"/>
  <c r="D47" i="1"/>
  <c r="H47" i="1" s="1"/>
  <c r="D176" i="1"/>
  <c r="H176" i="1" s="1"/>
  <c r="D182" i="1"/>
  <c r="H182" i="1" s="1"/>
  <c r="D9" i="1"/>
  <c r="H9" i="1" s="1"/>
  <c r="C102" i="1"/>
  <c r="G102" i="1" s="1"/>
  <c r="C49" i="1"/>
  <c r="G49" i="1" s="1"/>
  <c r="AC130" i="1"/>
  <c r="AJ130" i="1" s="1"/>
  <c r="AI130" i="1"/>
  <c r="D102" i="1"/>
  <c r="H102" i="1" s="1"/>
  <c r="D49" i="1"/>
  <c r="H49" i="1" s="1"/>
  <c r="D217" i="1"/>
  <c r="H217" i="1" s="1"/>
  <c r="C217" i="1"/>
  <c r="G217" i="1" s="1"/>
  <c r="C174" i="1"/>
  <c r="G174" i="1" s="1"/>
  <c r="C220" i="1"/>
  <c r="G220" i="1" s="1"/>
  <c r="D69" i="1"/>
  <c r="H69" i="1" s="1"/>
  <c r="C207" i="1"/>
  <c r="G207" i="1" s="1"/>
  <c r="C176" i="1"/>
  <c r="G176" i="1" s="1"/>
  <c r="C196" i="1"/>
  <c r="G196" i="1" s="1"/>
  <c r="D42" i="1"/>
  <c r="H42" i="1" s="1"/>
  <c r="D207" i="1"/>
  <c r="H207" i="1" s="1"/>
  <c r="D53" i="1"/>
  <c r="H53" i="1" s="1"/>
  <c r="C193" i="1"/>
  <c r="G193" i="1" s="1"/>
  <c r="D189" i="1"/>
  <c r="H189" i="1" s="1"/>
  <c r="D109" i="1"/>
  <c r="H109" i="1" s="1"/>
  <c r="C175" i="1"/>
  <c r="G175" i="1" s="1"/>
  <c r="D96" i="1"/>
  <c r="H96" i="1" s="1"/>
  <c r="C109" i="1"/>
  <c r="G109" i="1" s="1"/>
  <c r="D175" i="1"/>
  <c r="H175" i="1" s="1"/>
  <c r="C96" i="1"/>
  <c r="G96" i="1" s="1"/>
  <c r="D15" i="1"/>
  <c r="H15" i="1" s="1"/>
  <c r="C15" i="1"/>
  <c r="G15" i="1" s="1"/>
  <c r="C143" i="1"/>
  <c r="G143" i="1" s="1"/>
  <c r="D174" i="1"/>
  <c r="H174" i="1" s="1"/>
  <c r="C40" i="1"/>
  <c r="G40" i="1" s="1"/>
  <c r="D40" i="1"/>
  <c r="H40" i="1" s="1"/>
  <c r="C69" i="1"/>
  <c r="G69" i="1" s="1"/>
  <c r="D193" i="1"/>
  <c r="H193" i="1" s="1"/>
  <c r="C42" i="1"/>
  <c r="G42" i="1" s="1"/>
  <c r="C179" i="1"/>
  <c r="G179" i="1" s="1"/>
  <c r="D141" i="1"/>
  <c r="H141" i="1" s="1"/>
  <c r="C141" i="1"/>
  <c r="G141" i="1" s="1"/>
  <c r="D136" i="1" l="1"/>
  <c r="H136" i="1" s="1"/>
  <c r="C136" i="1"/>
  <c r="G136" i="1" s="1"/>
  <c r="D140" i="1"/>
  <c r="H140" i="1" s="1"/>
  <c r="C140" i="1"/>
  <c r="G140" i="1" s="1"/>
  <c r="D130" i="1"/>
  <c r="H130" i="1" s="1"/>
  <c r="C130" i="1"/>
  <c r="G13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William Sunnucks</author>
  </authors>
  <commentList>
    <comment ref="A67" authorId="0" shapeId="0" xr:uid="{B0333321-48A0-45E0-9EE6-0E7F9DC39936}">
      <text>
        <r>
          <rPr>
            <b/>
            <sz val="9"/>
            <color indexed="81"/>
            <rFont val="Verdana"/>
            <family val="2"/>
          </rPr>
          <t>William Sunnucks:</t>
        </r>
        <r>
          <rPr>
            <sz val="9"/>
            <color indexed="81"/>
            <rFont val="Verdana"/>
            <family val="2"/>
          </rPr>
          <t xml:space="preserve">
Figures from Matt McDonald
</t>
        </r>
      </text>
    </comment>
  </commentList>
</comments>
</file>

<file path=xl/sharedStrings.xml><?xml version="1.0" encoding="utf-8"?>
<sst xmlns="http://schemas.openxmlformats.org/spreadsheetml/2006/main" count="1127" uniqueCount="608">
  <si>
    <t>Texel Rating (TR) for trampoline catamarans</t>
  </si>
  <si>
    <t>TR Light wind rating</t>
  </si>
  <si>
    <t>input and calculations area mainsail</t>
  </si>
  <si>
    <t>input and calc. area main (simpson)</t>
  </si>
  <si>
    <t>input and calc. area spi</t>
  </si>
  <si>
    <t>windcoeff.</t>
  </si>
  <si>
    <t>Vt in m/sec:</t>
  </si>
  <si>
    <t>dyn. wind press. Va in kg/m²:</t>
  </si>
  <si>
    <t>Jib reduction under spi:</t>
  </si>
  <si>
    <t>Board</t>
  </si>
  <si>
    <t>Texel Rating</t>
  </si>
  <si>
    <t>power</t>
  </si>
  <si>
    <t>Common</t>
  </si>
  <si>
    <t>type</t>
  </si>
  <si>
    <t>Crew</t>
  </si>
  <si>
    <t>Trapeze</t>
  </si>
  <si>
    <t>WS</t>
  </si>
  <si>
    <t>LB</t>
  </si>
  <si>
    <t>MSAM</t>
  </si>
  <si>
    <t>VLM</t>
  </si>
  <si>
    <t>MSAG</t>
  </si>
  <si>
    <t>VLG</t>
  </si>
  <si>
    <t>E</t>
  </si>
  <si>
    <t>SA/E^2</t>
  </si>
  <si>
    <t>corr.</t>
  </si>
  <si>
    <t>RSAM</t>
  </si>
  <si>
    <t>msag /</t>
  </si>
  <si>
    <t>RSAG</t>
  </si>
  <si>
    <t>RSA</t>
  </si>
  <si>
    <t>RW</t>
  </si>
  <si>
    <t>RSAS</t>
  </si>
  <si>
    <t>RSASCR</t>
  </si>
  <si>
    <t>CB</t>
  </si>
  <si>
    <t>ms1</t>
  </si>
  <si>
    <t>mh1</t>
  </si>
  <si>
    <t>mtr1</t>
  </si>
  <si>
    <t>mp1</t>
  </si>
  <si>
    <t>msegm 1</t>
  </si>
  <si>
    <t>ms2</t>
  </si>
  <si>
    <t>mp2</t>
  </si>
  <si>
    <t>msegm 2</t>
  </si>
  <si>
    <t>ms3</t>
  </si>
  <si>
    <t>mh3</t>
  </si>
  <si>
    <t>mtr 3</t>
  </si>
  <si>
    <t>ms4</t>
  </si>
  <si>
    <t>mh4</t>
  </si>
  <si>
    <t>mtr 4</t>
  </si>
  <si>
    <t>ms5</t>
  </si>
  <si>
    <t>mp5</t>
  </si>
  <si>
    <t>msegm 5</t>
  </si>
  <si>
    <t>ms6</t>
  </si>
  <si>
    <t>mp6</t>
  </si>
  <si>
    <t>msegm 6</t>
  </si>
  <si>
    <t>ms7</t>
  </si>
  <si>
    <t>mh7</t>
  </si>
  <si>
    <t>mtr 7</t>
  </si>
  <si>
    <t>ms8</t>
  </si>
  <si>
    <t>mp8</t>
  </si>
  <si>
    <t>msegm 8</t>
  </si>
  <si>
    <t>ms10</t>
  </si>
  <si>
    <t>mh10</t>
  </si>
  <si>
    <t>mtr10</t>
  </si>
  <si>
    <t>ms11</t>
  </si>
  <si>
    <t>mh11</t>
  </si>
  <si>
    <t>mtr 11</t>
  </si>
  <si>
    <t>ms12</t>
  </si>
  <si>
    <t>marea</t>
  </si>
  <si>
    <t>gs1</t>
  </si>
  <si>
    <t>gh1</t>
  </si>
  <si>
    <t>gtr1</t>
  </si>
  <si>
    <t>gp1</t>
  </si>
  <si>
    <t>gsegm 1</t>
  </si>
  <si>
    <t>gs2</t>
  </si>
  <si>
    <t>gp2</t>
  </si>
  <si>
    <t>gsegm 2</t>
  </si>
  <si>
    <t>gs3</t>
  </si>
  <si>
    <t>gp3</t>
  </si>
  <si>
    <t>gsegm 3</t>
  </si>
  <si>
    <t>circ.</t>
  </si>
  <si>
    <t>area</t>
  </si>
  <si>
    <t>sailnumber</t>
  </si>
  <si>
    <t>sailor</t>
  </si>
  <si>
    <t>Date</t>
  </si>
  <si>
    <t>measurer</t>
  </si>
  <si>
    <t>mbutton</t>
  </si>
  <si>
    <t>gbutton</t>
  </si>
  <si>
    <t>sbutton</t>
  </si>
  <si>
    <t>hbutton</t>
  </si>
  <si>
    <t>mtop</t>
  </si>
  <si>
    <t>ma</t>
  </si>
  <si>
    <t>mb</t>
  </si>
  <si>
    <t>mc</t>
  </si>
  <si>
    <t>mfoot</t>
  </si>
  <si>
    <t>mssa</t>
  </si>
  <si>
    <t>sf</t>
  </si>
  <si>
    <t>sl1</t>
  </si>
  <si>
    <t>sl2</t>
  </si>
  <si>
    <t>smg</t>
  </si>
  <si>
    <t>SMG%</t>
  </si>
  <si>
    <t>sas</t>
  </si>
  <si>
    <t>main</t>
  </si>
  <si>
    <t>jib</t>
  </si>
  <si>
    <t>vlg</t>
  </si>
  <si>
    <t>remarks</t>
  </si>
  <si>
    <t>Stability</t>
  </si>
  <si>
    <t>factor</t>
  </si>
  <si>
    <t>inmput</t>
  </si>
  <si>
    <t>no spi</t>
  </si>
  <si>
    <t>incl. Spi</t>
  </si>
  <si>
    <t>width</t>
  </si>
  <si>
    <t>nr</t>
  </si>
  <si>
    <t>excl spi</t>
  </si>
  <si>
    <t>incl spi</t>
  </si>
  <si>
    <t>if E &lt;&gt; H1</t>
  </si>
  <si>
    <t>or meas.</t>
  </si>
  <si>
    <t>incl mast</t>
  </si>
  <si>
    <t>foot&lt;Emax</t>
  </si>
  <si>
    <t>lpg^2</t>
  </si>
  <si>
    <t>correction</t>
  </si>
  <si>
    <t>incl. spi</t>
  </si>
  <si>
    <t>(VLM1)</t>
  </si>
  <si>
    <t>(VLM2)</t>
  </si>
  <si>
    <t>mast</t>
  </si>
  <si>
    <t>to SF</t>
  </si>
  <si>
    <t>no details</t>
  </si>
  <si>
    <t>Heeling</t>
  </si>
  <si>
    <t>Righting</t>
  </si>
  <si>
    <t>schrs</t>
  </si>
  <si>
    <t>A-Class</t>
  </si>
  <si>
    <t>input acc. class rules</t>
  </si>
  <si>
    <t>*</t>
  </si>
  <si>
    <t>A-Class Classic (straight/constant curve foils)</t>
  </si>
  <si>
    <t>Aesticat 530</t>
  </si>
  <si>
    <t>no</t>
  </si>
  <si>
    <t>AHPC Capricorn F18</t>
  </si>
  <si>
    <t>AHPC Taipan 4.9</t>
  </si>
  <si>
    <t>G. Marstrom</t>
  </si>
  <si>
    <t>MW, AV</t>
  </si>
  <si>
    <t>…</t>
  </si>
  <si>
    <t>Bim 20 Speciaal 2007</t>
  </si>
  <si>
    <t>sui</t>
  </si>
  <si>
    <t>m.a. Grepper</t>
  </si>
  <si>
    <t>av</t>
  </si>
  <si>
    <t>Bim Javelin 18 Hightech</t>
  </si>
  <si>
    <t>Catapult</t>
  </si>
  <si>
    <t>Cirrus F18</t>
  </si>
  <si>
    <t>Cirrus Ocean</t>
  </si>
  <si>
    <t>Arthur Smit</t>
  </si>
  <si>
    <t>P.Saarberg</t>
  </si>
  <si>
    <t>Cobra 5M</t>
  </si>
  <si>
    <t>Condor 16</t>
  </si>
  <si>
    <t>Coolcat 15(1)</t>
  </si>
  <si>
    <t>Coolcat 15(2)</t>
  </si>
  <si>
    <t>Coolcat 18</t>
  </si>
  <si>
    <t>Coolcat 18S</t>
  </si>
  <si>
    <t>Corneel 18</t>
  </si>
  <si>
    <t>Dart 15</t>
  </si>
  <si>
    <t>Dart 15 S</t>
  </si>
  <si>
    <t>Dart 16</t>
  </si>
  <si>
    <t>Taylor</t>
  </si>
  <si>
    <t>MW/AV</t>
  </si>
  <si>
    <t>Dart 18</t>
  </si>
  <si>
    <t>A.Verheus</t>
  </si>
  <si>
    <t>Dart 18 Cat Boat</t>
  </si>
  <si>
    <t>av/mw</t>
  </si>
  <si>
    <t>Dart 20</t>
  </si>
  <si>
    <t>Dart 20 Tsx</t>
  </si>
  <si>
    <t>Dart 6000</t>
  </si>
  <si>
    <t>Dart Hawk F18</t>
  </si>
  <si>
    <t>input acc. class rules, vlm input isaf</t>
  </si>
  <si>
    <t>Dart Sting Solo - Jib</t>
  </si>
  <si>
    <t>Eagle 18 Carbon Sl</t>
  </si>
  <si>
    <t>BEL19</t>
  </si>
  <si>
    <t>Bouscholte</t>
  </si>
  <si>
    <t>Eagle 20 Carbon</t>
  </si>
  <si>
    <t>Vicent Huntelman</t>
  </si>
  <si>
    <t>Eagle 20 Carbon M</t>
  </si>
  <si>
    <t>r.van wieren</t>
  </si>
  <si>
    <t>a. verheus</t>
  </si>
  <si>
    <t>Eagle 20 Carbon S</t>
  </si>
  <si>
    <t>Eagle 20 Carbon Sk</t>
  </si>
  <si>
    <t>Eagle 20 Carbon T</t>
  </si>
  <si>
    <t>Eagle 20 Carbon Te</t>
  </si>
  <si>
    <t>Eagle 20 Hilger</t>
  </si>
  <si>
    <t>Hilger</t>
  </si>
  <si>
    <t>Eagle 20 Strbroek 4 Small Rig And Spi</t>
  </si>
  <si>
    <t>Straakenbroek</t>
  </si>
  <si>
    <t>new rig, small spi</t>
  </si>
  <si>
    <t>Eagle 20 Strbroek Large</t>
  </si>
  <si>
    <t>av-c</t>
  </si>
  <si>
    <t>av-f</t>
  </si>
  <si>
    <t>av-j</t>
  </si>
  <si>
    <t>0e806</t>
  </si>
  <si>
    <t>Eagle 20 Strbroek Small No Jib</t>
  </si>
  <si>
    <t>av-r</t>
  </si>
  <si>
    <t>av-s</t>
  </si>
  <si>
    <t>av-v</t>
  </si>
  <si>
    <t>Eagle F20</t>
  </si>
  <si>
    <t>Eagle HF</t>
  </si>
  <si>
    <t>John de Vries</t>
  </si>
  <si>
    <t>AV</t>
  </si>
  <si>
    <t>code v7</t>
  </si>
  <si>
    <t>code v8</t>
  </si>
  <si>
    <t>Curved foil</t>
  </si>
  <si>
    <t>Eagle HF wing</t>
  </si>
  <si>
    <t>Curved foils, wing, area *1.13</t>
  </si>
  <si>
    <t>Eagle Xxl  2008</t>
  </si>
  <si>
    <t>Hans Bouscholte</t>
  </si>
  <si>
    <t>08t12</t>
  </si>
  <si>
    <t>08t14</t>
  </si>
  <si>
    <t>08t13</t>
  </si>
  <si>
    <t>Exploder 20</t>
  </si>
  <si>
    <t>a, verheus</t>
  </si>
  <si>
    <t>Exploder 20 Carbon</t>
  </si>
  <si>
    <t>new weight, av, 10-6-2009</t>
  </si>
  <si>
    <t>Exploder F18</t>
  </si>
  <si>
    <t>Extreme 20</t>
  </si>
  <si>
    <t>Herbert Dercksen</t>
  </si>
  <si>
    <t>Extreme 20 Big Wing</t>
  </si>
  <si>
    <t>H. Dercksen</t>
  </si>
  <si>
    <t>AV/MW</t>
  </si>
  <si>
    <t>m20 wing, area *1.13</t>
  </si>
  <si>
    <t>Extreme 20 Big Wing Code 0</t>
  </si>
  <si>
    <t>Extreme 20 Ned1</t>
  </si>
  <si>
    <t>NED1</t>
  </si>
  <si>
    <t>Herbert Derecken</t>
  </si>
  <si>
    <t>P.Vink</t>
  </si>
  <si>
    <t>Extreme 20 Small Wing</t>
  </si>
  <si>
    <t>Extreme 20 Small Wing Code 0</t>
  </si>
  <si>
    <t>Extreme 20 Vs</t>
  </si>
  <si>
    <t>Paul Buyse</t>
  </si>
  <si>
    <t>08t2</t>
  </si>
  <si>
    <t>08t3</t>
  </si>
  <si>
    <t>F1 Sailing One</t>
  </si>
  <si>
    <t>ned 39</t>
  </si>
  <si>
    <t>bouscholte</t>
  </si>
  <si>
    <t>p. saarberg</t>
  </si>
  <si>
    <t>Falcon F18</t>
  </si>
  <si>
    <t>F-Cat</t>
  </si>
  <si>
    <t>011062014</t>
  </si>
  <si>
    <t>Formula 18</t>
  </si>
  <si>
    <t>Formula 18 Hightech</t>
  </si>
  <si>
    <t>Formula 18 No Jib</t>
  </si>
  <si>
    <t>Formula 20</t>
  </si>
  <si>
    <t>Freestyle 474</t>
  </si>
  <si>
    <t>G Force 21</t>
  </si>
  <si>
    <t>G-Cat 5.0</t>
  </si>
  <si>
    <t>G-Cat 5.7</t>
  </si>
  <si>
    <t>input acc. F16 class rules, except weight</t>
  </si>
  <si>
    <t>Goodall Viper Solo</t>
  </si>
  <si>
    <t>Hobie 13</t>
  </si>
  <si>
    <t>Hobie 14</t>
  </si>
  <si>
    <t>Hobie 14 race (With jib)</t>
  </si>
  <si>
    <t>Hobie 14S (2)</t>
  </si>
  <si>
    <t>Hobie 16</t>
  </si>
  <si>
    <t>Hobie 16 Easy</t>
  </si>
  <si>
    <t>Hobie 17 (without wings)</t>
  </si>
  <si>
    <t>Hobie 17S</t>
  </si>
  <si>
    <t>Hobie 18</t>
  </si>
  <si>
    <t>Hobie 18 Formula</t>
  </si>
  <si>
    <t>Hobie 18 Magnum (With wings)</t>
  </si>
  <si>
    <t>Hobie 20 Formula</t>
  </si>
  <si>
    <t>Hobie 21</t>
  </si>
  <si>
    <t>wn/av</t>
  </si>
  <si>
    <t>Hobie 21 Formula</t>
  </si>
  <si>
    <t>Hobie Fox F20</t>
  </si>
  <si>
    <t>Hobie FX One Cat Boat</t>
  </si>
  <si>
    <t>Hobie FX One Double</t>
  </si>
  <si>
    <t>Hobie Max</t>
  </si>
  <si>
    <t>Kees Rover</t>
  </si>
  <si>
    <t>Hobie Pacific (no wing-no spi)</t>
  </si>
  <si>
    <t>AV /MW/ texel</t>
  </si>
  <si>
    <t>Hobie Tatoo</t>
  </si>
  <si>
    <t>Hobie Tiger F18</t>
  </si>
  <si>
    <t>Hobie Wildcat F18</t>
  </si>
  <si>
    <t>Hurricane 4.9</t>
  </si>
  <si>
    <t>Hurricane 5.9 Sport</t>
  </si>
  <si>
    <t>Hurricane 5.9 Sx</t>
  </si>
  <si>
    <t>AW sailboats</t>
  </si>
  <si>
    <t>Hurricane 500</t>
  </si>
  <si>
    <t>nicole v bellen</t>
  </si>
  <si>
    <t>Hydra 16</t>
  </si>
  <si>
    <t>Hydra 18</t>
  </si>
  <si>
    <t>Iroise 2000</t>
  </si>
  <si>
    <t>sui 11</t>
  </si>
  <si>
    <t>vischer</t>
  </si>
  <si>
    <t>Jtv 20</t>
  </si>
  <si>
    <t>??</t>
  </si>
  <si>
    <t>A Verheus</t>
  </si>
  <si>
    <t>Kat17-1</t>
  </si>
  <si>
    <t>Kl  F 18</t>
  </si>
  <si>
    <t>KL 17 Regate</t>
  </si>
  <si>
    <t>M18</t>
  </si>
  <si>
    <t>stephan rahm</t>
  </si>
  <si>
    <t>M20</t>
  </si>
  <si>
    <t>mw/av</t>
  </si>
  <si>
    <t>new weight</t>
  </si>
  <si>
    <t>M20 An1</t>
  </si>
  <si>
    <t>NED 88</t>
  </si>
  <si>
    <t>A.Noordstrand</t>
  </si>
  <si>
    <t>A2236</t>
  </si>
  <si>
    <t>m20 modified</t>
  </si>
  <si>
    <t>M20 Flying Vampire</t>
  </si>
  <si>
    <t>GBR1</t>
  </si>
  <si>
    <t>William Sunnucks</t>
  </si>
  <si>
    <t>D Chivers</t>
  </si>
  <si>
    <t>614st1</t>
  </si>
  <si>
    <t>M20 Gt / Large Spi</t>
  </si>
  <si>
    <t>p.saarberg</t>
  </si>
  <si>
    <t>M20 Gti Large Spi</t>
  </si>
  <si>
    <t>NED23</t>
  </si>
  <si>
    <t>Xander Pols</t>
  </si>
  <si>
    <t>M20 Hd1</t>
  </si>
  <si>
    <t>a232</t>
  </si>
  <si>
    <t>Volvo extreme modifed</t>
  </si>
  <si>
    <t>M20 Jonn Player Special</t>
  </si>
  <si>
    <t>NED7</t>
  </si>
  <si>
    <t>John Moret</t>
  </si>
  <si>
    <t>P.Vink/M.Vercouteren 
P.Vink/M.Vercouteren</t>
  </si>
  <si>
    <t>m20 bigger sails/mast</t>
  </si>
  <si>
    <t>M20 Rh2</t>
  </si>
  <si>
    <t>NED44</t>
  </si>
  <si>
    <t>R. Haeger</t>
  </si>
  <si>
    <t>M20 Rh3</t>
  </si>
  <si>
    <t>M20 Rh4</t>
  </si>
  <si>
    <t>P.Saarberg/Landenberger(Jib)</t>
  </si>
  <si>
    <t>m20 modified</t>
  </si>
  <si>
    <t>M20 Rk1</t>
  </si>
  <si>
    <t>NED 20</t>
  </si>
  <si>
    <t>R.Kenbeek</t>
  </si>
  <si>
    <t>a672</t>
  </si>
  <si>
    <t>M20 Rk2</t>
  </si>
  <si>
    <t>R. Kenbeek</t>
  </si>
  <si>
    <t>m20, 3,52 wide</t>
  </si>
  <si>
    <t>M20 Xp1</t>
  </si>
  <si>
    <t>Mattia 18 (104)</t>
  </si>
  <si>
    <t>Mattia 18 F18</t>
  </si>
  <si>
    <t>Mattia 18 Raid</t>
  </si>
  <si>
    <t>Mattia 20</t>
  </si>
  <si>
    <t>Mattia Flash F18</t>
  </si>
  <si>
    <t>Merricat</t>
  </si>
  <si>
    <t>Miracle 6.0</t>
  </si>
  <si>
    <t>Miracle 6.0 Carbon</t>
  </si>
  <si>
    <t>ned 1</t>
  </si>
  <si>
    <t>Mystere 2000</t>
  </si>
  <si>
    <t>Mystere 5.0 Xl</t>
  </si>
  <si>
    <t>Mystere 5.0 Xxl</t>
  </si>
  <si>
    <t>AV /Zaandam</t>
  </si>
  <si>
    <t>Mystere 5.5 Fun</t>
  </si>
  <si>
    <t>AV/zaandam</t>
  </si>
  <si>
    <t>Mystere 5.5 Master</t>
  </si>
  <si>
    <t>ned 102</t>
  </si>
  <si>
    <t>Mystere 5.5 Xl Fun</t>
  </si>
  <si>
    <t>Mystere 5.5 Xl Master</t>
  </si>
  <si>
    <t>Mystere 6.0 Xl</t>
  </si>
  <si>
    <t>Nacra 16Vm</t>
  </si>
  <si>
    <t>nacra</t>
  </si>
  <si>
    <t>Menno Vercouteren</t>
  </si>
  <si>
    <t>US-NAC0002A121</t>
  </si>
  <si>
    <t>Nacra 18M2</t>
  </si>
  <si>
    <t>Nacra 4.5</t>
  </si>
  <si>
    <t>017/021</t>
  </si>
  <si>
    <t>W.Nagtzaam</t>
  </si>
  <si>
    <t>Nacra 4.5 Solo</t>
  </si>
  <si>
    <t>Nacra 4.5-Solo Jib</t>
  </si>
  <si>
    <t>Nacra 5.0 Double</t>
  </si>
  <si>
    <t>importer</t>
  </si>
  <si>
    <t>Nacra 5.2</t>
  </si>
  <si>
    <t>Nacra 5.5 Raid</t>
  </si>
  <si>
    <t>final type</t>
  </si>
  <si>
    <t>Nacra 5.5 Sl</t>
  </si>
  <si>
    <t>Nacra 5.5 Sl (1)</t>
  </si>
  <si>
    <t>Nacra 5.7 Race</t>
  </si>
  <si>
    <t>Nacra 5.8</t>
  </si>
  <si>
    <t>Nacra 6.0</t>
  </si>
  <si>
    <t>Nacra 6.0 Raid</t>
  </si>
  <si>
    <t>proto 1/4</t>
  </si>
  <si>
    <t>Nacra 6.0 SE</t>
  </si>
  <si>
    <t>Nacra Blast</t>
  </si>
  <si>
    <t>de boer</t>
  </si>
  <si>
    <t>Nacra F17 Sloop</t>
  </si>
  <si>
    <t>Adrian Fawcett</t>
  </si>
  <si>
    <t>P Vink</t>
  </si>
  <si>
    <t>Nacra F18</t>
  </si>
  <si>
    <t>Nacra F20 Carbon</t>
  </si>
  <si>
    <t>Peter Vink</t>
  </si>
  <si>
    <t>Nacra F20 Carbon FCS</t>
  </si>
  <si>
    <t>Nacra Infusion F18</t>
  </si>
  <si>
    <t>A. van der Plas</t>
  </si>
  <si>
    <t>Nacra Inter 17 Jib</t>
  </si>
  <si>
    <t>Nacra Inter 17R</t>
  </si>
  <si>
    <t>Nacra Inter 18 F18</t>
  </si>
  <si>
    <t>Nacra Inter 20 F20</t>
  </si>
  <si>
    <t>Nacra Inter17 Xl</t>
  </si>
  <si>
    <t>New Cat F1</t>
  </si>
  <si>
    <t>New Cat F2</t>
  </si>
  <si>
    <t>Newcat 15</t>
  </si>
  <si>
    <t>Novacat 18</t>
  </si>
  <si>
    <t>Paper Tiger</t>
  </si>
  <si>
    <t>Pixie</t>
  </si>
  <si>
    <t>Predator 20</t>
  </si>
  <si>
    <t>Ptasnik</t>
  </si>
  <si>
    <t>Same mainssail as Predator 20C</t>
  </si>
  <si>
    <t>Predator 20C</t>
  </si>
  <si>
    <t>Krizek</t>
  </si>
  <si>
    <t>Same mainssail as Predator 20</t>
  </si>
  <si>
    <t>Prindle 15</t>
  </si>
  <si>
    <t>Dirk Pool</t>
  </si>
  <si>
    <t>Prindle 15S</t>
  </si>
  <si>
    <t>Prindle 16</t>
  </si>
  <si>
    <t>Prindle 18</t>
  </si>
  <si>
    <t>Prindle 18 Escape</t>
  </si>
  <si>
    <t>Prindle 18-2</t>
  </si>
  <si>
    <t>Prindle 18-2 Torrig</t>
  </si>
  <si>
    <t>Van der Schuit</t>
  </si>
  <si>
    <t>v an der schuit/niet gemten</t>
  </si>
  <si>
    <t>tornado jib, shortened tornado mast</t>
  </si>
  <si>
    <t>Prindle 19</t>
  </si>
  <si>
    <t>Prindle 19 Pacer</t>
  </si>
  <si>
    <t>Roberts 25</t>
  </si>
  <si>
    <t>Roberts 27</t>
  </si>
  <si>
    <t>.</t>
  </si>
  <si>
    <t>Sapajou</t>
  </si>
  <si>
    <t>Seaspray 15</t>
  </si>
  <si>
    <t>Shadow</t>
  </si>
  <si>
    <t>Shark</t>
  </si>
  <si>
    <t>Shearwater</t>
  </si>
  <si>
    <t>Shockwave F18</t>
  </si>
  <si>
    <t>Sl 16</t>
  </si>
  <si>
    <t>Speedycat (1)</t>
  </si>
  <si>
    <t>Speedycat (2)</t>
  </si>
  <si>
    <t>Spitfire</t>
  </si>
  <si>
    <t>Spitfire S</t>
  </si>
  <si>
    <t>Rupert White</t>
  </si>
  <si>
    <t>D.Chivers</t>
  </si>
  <si>
    <t>Stealth F16 Double</t>
  </si>
  <si>
    <t>Stealth F16 Solo</t>
  </si>
  <si>
    <t>Stealth F18Ht</t>
  </si>
  <si>
    <t>Stingray 5.5</t>
  </si>
  <si>
    <t>Supercat 15</t>
  </si>
  <si>
    <t>Supercat 17</t>
  </si>
  <si>
    <t>Supercat 18 Sp.</t>
  </si>
  <si>
    <t>Supercat 19</t>
  </si>
  <si>
    <t>Supercat 20 Texel</t>
  </si>
  <si>
    <t>Supernova</t>
  </si>
  <si>
    <t>Swift</t>
  </si>
  <si>
    <t>Taipan 5.7</t>
  </si>
  <si>
    <t>ned 076</t>
  </si>
  <si>
    <t>Thundercat 17</t>
  </si>
  <si>
    <t>Thundercat 18</t>
  </si>
  <si>
    <t>walter</t>
  </si>
  <si>
    <t>Topcat F1</t>
  </si>
  <si>
    <t>Topcat F2</t>
  </si>
  <si>
    <t>Topcat K2 Small Jib</t>
  </si>
  <si>
    <t>Topcat K2 Solo</t>
  </si>
  <si>
    <t>Topcat K3</t>
  </si>
  <si>
    <t>AV /Biddinghuizen</t>
  </si>
  <si>
    <t>Topcat K3 Solo</t>
  </si>
  <si>
    <t>Topcat K3 Solo Jib</t>
  </si>
  <si>
    <t>Topcat Spifire 2.3</t>
  </si>
  <si>
    <t>Topcat Spitfire 2.5</t>
  </si>
  <si>
    <t>Tornado</t>
  </si>
  <si>
    <t>Tornado 420 (Minicorn)</t>
  </si>
  <si>
    <t>Remco Nagtegaal</t>
  </si>
  <si>
    <t>Tornado 540</t>
  </si>
  <si>
    <t>Tornado Classic</t>
  </si>
  <si>
    <t>Trac 16</t>
  </si>
  <si>
    <t>Trac 18</t>
  </si>
  <si>
    <t>Trigger Club</t>
  </si>
  <si>
    <t>Trigger Radical</t>
  </si>
  <si>
    <t>25/27</t>
  </si>
  <si>
    <t>Trigger Sport</t>
  </si>
  <si>
    <t>Tropic GTI</t>
  </si>
  <si>
    <t>Ventilo 18 HT</t>
  </si>
  <si>
    <t>Ventilo 20 Sloop</t>
  </si>
  <si>
    <t>Aubert</t>
  </si>
  <si>
    <t>Ventilo F18 Ht</t>
  </si>
  <si>
    <t>Ventilo F18 Ht Sloop</t>
  </si>
  <si>
    <t>asselborn</t>
  </si>
  <si>
    <t>Ventilo M3 Cat boat - spi</t>
  </si>
  <si>
    <t>input acc. website</t>
  </si>
  <si>
    <t>Warp 18</t>
  </si>
  <si>
    <t>Whisper</t>
  </si>
  <si>
    <t>White</t>
  </si>
  <si>
    <t>T-Foil</t>
  </si>
  <si>
    <t>White Formula 20</t>
  </si>
  <si>
    <t>Sails acc. class rules White Formula</t>
  </si>
  <si>
    <t>Wildcat/Lynx</t>
  </si>
  <si>
    <t>Windrush 14 Ss</t>
  </si>
  <si>
    <t>Zeekat</t>
  </si>
  <si>
    <t>Nacra</t>
  </si>
  <si>
    <t>Eduard Zanen</t>
  </si>
  <si>
    <t>M20 second mod L-foil</t>
  </si>
  <si>
    <t>p12</t>
  </si>
  <si>
    <t>NED 747</t>
  </si>
  <si>
    <t>Jaap Straakenbroek</t>
  </si>
  <si>
    <t>Flying Phantom</t>
  </si>
  <si>
    <t>Flying Phantom no jib</t>
  </si>
  <si>
    <t>Nacra 20 One Design</t>
  </si>
  <si>
    <t>Nacra 500 Solo</t>
  </si>
  <si>
    <t>Nacra 500 Sport</t>
  </si>
  <si>
    <t>Nacra 570 Sport</t>
  </si>
  <si>
    <t>Nacra 580 (Provisional) Sport</t>
  </si>
  <si>
    <t>Nacra Blast Solo without jib</t>
  </si>
  <si>
    <t>Nacra Blast Jib Solo</t>
  </si>
  <si>
    <t>Nacra Inter 17 Solo Jib</t>
  </si>
  <si>
    <t>Bimare F16</t>
  </si>
  <si>
    <t>Nacra 17  MK1</t>
  </si>
  <si>
    <t>Gunnar Larsen</t>
  </si>
  <si>
    <t>Tot.mast</t>
  </si>
  <si>
    <t>length</t>
  </si>
  <si>
    <t>Formula 20 BiM</t>
  </si>
  <si>
    <t>Measured by Ecole Nationale de Voile - 27th october 2003. spi acc. Class rules.</t>
  </si>
  <si>
    <t>Hurricane 5.9</t>
  </si>
  <si>
    <t>class rules</t>
  </si>
  <si>
    <t>Jib SCHRS Data</t>
  </si>
  <si>
    <t>spi area schrs</t>
  </si>
  <si>
    <t>SCHRS</t>
  </si>
  <si>
    <t>Spi SCHRS</t>
  </si>
  <si>
    <t>new design mainsail Spi SCHRS</t>
  </si>
  <si>
    <t>PC Barraud</t>
  </si>
  <si>
    <t>Jib SCHRS</t>
  </si>
  <si>
    <t>Class rules to be checked. Spi SCHRS measurement.</t>
  </si>
  <si>
    <t>Flying Phantom Essential</t>
  </si>
  <si>
    <t>Alex Udin</t>
  </si>
  <si>
    <t>ISAF data, mainsail is F18</t>
  </si>
  <si>
    <t>gs4</t>
  </si>
  <si>
    <t>gp4</t>
  </si>
  <si>
    <t>gtr4</t>
  </si>
  <si>
    <t>gs1_short</t>
  </si>
  <si>
    <t>Flying Phantom Essential Side racks</t>
  </si>
  <si>
    <t>Nacra 17  Olympic Class full foiler</t>
  </si>
  <si>
    <t>data comply with class rules</t>
  </si>
  <si>
    <t>G.Upton</t>
  </si>
  <si>
    <t>data updated from Geoff work</t>
  </si>
  <si>
    <t>Topcat K4X Streamcut</t>
  </si>
  <si>
    <t>Topcat K1 Classic</t>
  </si>
  <si>
    <t>data updated from Topcat</t>
  </si>
  <si>
    <t>Topcat K1 Streamcut</t>
  </si>
  <si>
    <t>Topcat K2X Classic</t>
  </si>
  <si>
    <t>Topcat K2X Streamcut</t>
  </si>
  <si>
    <t>smg%</t>
  </si>
  <si>
    <t>Topcat K3X Solo Streamcut</t>
  </si>
  <si>
    <t>Nacra F20 Carbon Pro</t>
  </si>
  <si>
    <t>M20 Flying Vampire Little Green</t>
  </si>
  <si>
    <t>w1726</t>
  </si>
  <si>
    <t>AV/GR</t>
  </si>
  <si>
    <t>M20 second mod l foil  narrow version</t>
  </si>
  <si>
    <t>Diff</t>
  </si>
  <si>
    <t>spi</t>
  </si>
  <si>
    <t>Flying Duthcman M20  Junior</t>
  </si>
  <si>
    <t>Flying Dutchman M20</t>
  </si>
  <si>
    <t>Data updated form SCHRS</t>
  </si>
  <si>
    <t>Topcat K2X Regatta - Gennaker</t>
  </si>
  <si>
    <t>data updated from Topcat/laterSCHRS</t>
  </si>
  <si>
    <t>Topcat K3X Solo Streamcut -Jib</t>
  </si>
  <si>
    <t>Topcat K3X Solo Regatta - Gennaker - DS</t>
  </si>
  <si>
    <t>Newcat 14</t>
  </si>
  <si>
    <t>Spitfire Solo - without jib</t>
  </si>
  <si>
    <t>Nacra 15</t>
  </si>
  <si>
    <t xml:space="preserve">Nacra </t>
  </si>
  <si>
    <t>Nacra 15 FCS</t>
  </si>
  <si>
    <t>Nacra 15 ONE</t>
  </si>
  <si>
    <t>Nacra 18 FCS</t>
  </si>
  <si>
    <t>input acc. class rules, except foil/weight</t>
  </si>
  <si>
    <t>D Chivers/K.Stoneman</t>
  </si>
  <si>
    <t>Nacra F16 one curved foils</t>
  </si>
  <si>
    <t>Nacra F16 one</t>
  </si>
  <si>
    <t>Goodall Viper Foiling</t>
  </si>
  <si>
    <t>Goodall Viper Double</t>
  </si>
  <si>
    <t>Formula 16 Double</t>
  </si>
  <si>
    <t>Nacra F16 Double</t>
  </si>
  <si>
    <t>Nacra F16 Double  curved foils</t>
  </si>
  <si>
    <t>AHPC Taipan 4.9 Solo</t>
  </si>
  <si>
    <t>Bim 16 - Javelin 16 Solo</t>
  </si>
  <si>
    <t>Dart Sting Solo - no jib</t>
  </si>
  <si>
    <t>Formula 16 Solo</t>
  </si>
  <si>
    <t>Nacra Inter17 Xl Solo</t>
  </si>
  <si>
    <t>S9 Stunt Solo</t>
  </si>
  <si>
    <t>Topcat 4.5 Solo</t>
  </si>
  <si>
    <t>Topcat K4X Solo</t>
  </si>
  <si>
    <t>IFLY 15 Solo</t>
  </si>
  <si>
    <t xml:space="preserve">IFLY 15 Solo + code "F" </t>
  </si>
  <si>
    <t>IFLY 15 Double</t>
  </si>
  <si>
    <t xml:space="preserve">IFLY 15 Double + code "F" </t>
  </si>
  <si>
    <t xml:space="preserve">RS Cat 14 XL </t>
  </si>
  <si>
    <t>L-foils+Racks. 15-8-20 weight corrected and same spi as FCS</t>
  </si>
  <si>
    <t>Nacra F16 one jib</t>
  </si>
  <si>
    <t>Nacra 500 mk2</t>
  </si>
  <si>
    <t>acc. Website www.nacrasailing.com</t>
  </si>
  <si>
    <t>Texel Rating 2020</t>
  </si>
  <si>
    <t>Falcon F16 Solo</t>
  </si>
  <si>
    <t>Blade F16 Solo</t>
  </si>
  <si>
    <t>Blade F16 Double</t>
  </si>
  <si>
    <t>Falcon F16 Double</t>
  </si>
  <si>
    <t>l</t>
  </si>
  <si>
    <t>input acc. class rules exc. Weigh/foils</t>
  </si>
  <si>
    <t>LOA</t>
  </si>
  <si>
    <t>Sl 16 Solo</t>
  </si>
  <si>
    <t>Total</t>
  </si>
  <si>
    <t>RL</t>
  </si>
  <si>
    <t>or C or L</t>
  </si>
  <si>
    <t>C</t>
  </si>
  <si>
    <t>E CalC</t>
  </si>
  <si>
    <t>L</t>
  </si>
  <si>
    <t>DeckSweeper</t>
  </si>
  <si>
    <t>Nacra 570 MKII</t>
  </si>
  <si>
    <t>nlnacv001c323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</si>
</sst>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\ "/>
    <numFmt numFmtId="165" formatCode="0.0"/>
    <numFmt numFmtId="166" formatCode="0.000"/>
    <numFmt numFmtId="167" formatCode="d/mm/yy;@"/>
    <numFmt numFmtId="168" formatCode="0\ "/>
    <numFmt numFmtId="169" formatCode="0.00\ "/>
    <numFmt numFmtId="170" formatCode="d\ mmm\ yyyy"/>
    <numFmt numFmtId="171" formatCode="General\ "/>
    <numFmt numFmtId="172" formatCode="0.0000"/>
    <numFmt numFmtId="173" formatCode="General_)"/>
    <numFmt numFmtId="174" formatCode="#,##0.00\ "/>
  </numFmts>
  <fonts count="18" x14ac:knownFonts="1"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color rgb="FF0000FF"/>
      <name val="Arial"/>
      <family val="2"/>
      <charset val="1"/>
    </font>
    <font>
      <b/>
      <sz val="10"/>
      <name val="Arial"/>
      <family val="2"/>
      <charset val="1"/>
    </font>
    <font>
      <sz val="9"/>
      <name val="Arial"/>
      <family val="2"/>
      <charset val="1"/>
    </font>
    <font>
      <sz val="10"/>
      <name val="Courier New"/>
      <family val="3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Courier New"/>
      <family val="3"/>
      <charset val="1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9"/>
      <color indexed="81"/>
      <name val="Verdana"/>
      <family val="2"/>
    </font>
    <font>
      <sz val="9"/>
      <color indexed="81"/>
      <name val="Verdana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167" fontId="2" fillId="0" borderId="0" xfId="0" applyNumberFormat="1" applyFont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9" fontId="7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left" vertical="center"/>
    </xf>
    <xf numFmtId="164" fontId="5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Alignment="1" applyProtection="1">
      <alignment horizontal="center" vertical="center"/>
      <protection locked="0"/>
    </xf>
    <xf numFmtId="167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2" fontId="0" fillId="0" borderId="0" xfId="0" applyNumberFormat="1" applyAlignment="1" applyProtection="1">
      <alignment horizontal="left" vertical="center"/>
      <protection locked="0"/>
    </xf>
    <xf numFmtId="2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center"/>
      <protection locked="0"/>
    </xf>
    <xf numFmtId="2" fontId="0" fillId="0" borderId="0" xfId="0" applyNumberFormat="1" applyAlignment="1">
      <alignment vertical="center"/>
    </xf>
    <xf numFmtId="2" fontId="5" fillId="0" borderId="0" xfId="0" applyNumberFormat="1" applyFont="1" applyAlignment="1" applyProtection="1">
      <alignment horizontal="left" vertical="center"/>
      <protection locked="0"/>
    </xf>
    <xf numFmtId="1" fontId="5" fillId="0" borderId="0" xfId="0" applyNumberFormat="1" applyFont="1" applyAlignment="1" applyProtection="1">
      <alignment horizontal="left" vertical="center"/>
      <protection locked="0"/>
    </xf>
    <xf numFmtId="165" fontId="5" fillId="0" borderId="0" xfId="0" applyNumberFormat="1" applyFont="1" applyAlignment="1">
      <alignment horizontal="left" vertical="center"/>
    </xf>
    <xf numFmtId="2" fontId="5" fillId="0" borderId="0" xfId="0" applyNumberFormat="1" applyFont="1" applyAlignment="1">
      <alignment horizontal="left" vertical="center"/>
    </xf>
    <xf numFmtId="14" fontId="4" fillId="0" borderId="0" xfId="0" applyNumberFormat="1" applyFont="1" applyAlignment="1" applyProtection="1">
      <alignment vertical="center"/>
      <protection locked="0"/>
    </xf>
    <xf numFmtId="166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>
      <alignment vertical="center"/>
    </xf>
    <xf numFmtId="170" fontId="0" fillId="0" borderId="0" xfId="0" applyNumberFormat="1" applyAlignment="1" applyProtection="1">
      <alignment horizontal="left" vertical="center"/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6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1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 vertical="center"/>
    </xf>
    <xf numFmtId="0" fontId="7" fillId="0" borderId="0" xfId="0" applyFont="1" applyAlignment="1" applyProtection="1">
      <alignment vertical="center"/>
      <protection locked="0"/>
    </xf>
    <xf numFmtId="171" fontId="7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2" fontId="7" fillId="0" borderId="0" xfId="0" applyNumberFormat="1" applyFont="1" applyAlignment="1" applyProtection="1">
      <alignment horizontal="center" vertical="center"/>
      <protection locked="0"/>
    </xf>
    <xf numFmtId="1" fontId="7" fillId="0" borderId="0" xfId="0" applyNumberFormat="1" applyFont="1" applyAlignment="1" applyProtection="1">
      <alignment horizontal="center" vertical="center"/>
      <protection locked="0"/>
    </xf>
    <xf numFmtId="1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7" fontId="7" fillId="0" borderId="0" xfId="0" applyNumberFormat="1" applyFont="1" applyAlignment="1" applyProtection="1">
      <alignment horizontal="center" vertical="center"/>
      <protection locked="0"/>
    </xf>
    <xf numFmtId="10" fontId="7" fillId="0" borderId="0" xfId="0" applyNumberFormat="1" applyFont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11" fontId="7" fillId="0" borderId="0" xfId="0" applyNumberFormat="1" applyFont="1" applyAlignment="1" applyProtection="1">
      <alignment horizontal="center" vertical="center"/>
      <protection locked="0"/>
    </xf>
    <xf numFmtId="173" fontId="7" fillId="0" borderId="0" xfId="0" applyNumberFormat="1" applyFont="1" applyAlignment="1" applyProtection="1">
      <alignment horizontal="center" vertical="center"/>
      <protection locked="0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  <protection locked="0"/>
    </xf>
    <xf numFmtId="1" fontId="3" fillId="0" borderId="0" xfId="0" applyNumberFormat="1" applyFont="1" applyAlignment="1">
      <alignment horizontal="center" vertical="center"/>
    </xf>
    <xf numFmtId="171" fontId="7" fillId="2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171" fontId="8" fillId="0" borderId="0" xfId="0" applyNumberFormat="1" applyFont="1" applyAlignment="1" applyProtection="1">
      <alignment horizontal="center" vertical="center"/>
      <protection locked="0"/>
    </xf>
    <xf numFmtId="2" fontId="7" fillId="0" borderId="0" xfId="0" applyNumberFormat="1" applyFont="1" applyAlignment="1" applyProtection="1">
      <alignment vertical="center"/>
      <protection locked="0"/>
    </xf>
    <xf numFmtId="171" fontId="10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2" fontId="10" fillId="0" borderId="0" xfId="0" applyNumberFormat="1" applyFont="1" applyAlignment="1" applyProtection="1">
      <alignment horizontal="center" vertical="center"/>
      <protection locked="0"/>
    </xf>
    <xf numFmtId="1" fontId="10" fillId="0" borderId="0" xfId="0" applyNumberFormat="1" applyFont="1" applyAlignment="1" applyProtection="1">
      <alignment horizontal="center" vertical="center"/>
      <protection locked="0"/>
    </xf>
    <xf numFmtId="16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166" fontId="10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67" fontId="10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/>
    <xf numFmtId="17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left" vertical="center"/>
      <protection locked="0"/>
    </xf>
    <xf numFmtId="1" fontId="11" fillId="0" borderId="0" xfId="0" applyNumberFormat="1" applyFont="1" applyAlignment="1" applyProtection="1">
      <alignment horizontal="center" vertical="center"/>
      <protection locked="0"/>
    </xf>
    <xf numFmtId="1" fontId="0" fillId="0" borderId="0" xfId="0" applyNumberFormat="1"/>
    <xf numFmtId="1" fontId="6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2" fontId="11" fillId="0" borderId="0" xfId="0" applyNumberFormat="1" applyFont="1" applyAlignment="1" applyProtection="1">
      <alignment horizontal="center" vertical="center"/>
      <protection locked="0"/>
    </xf>
    <xf numFmtId="2" fontId="15" fillId="0" borderId="0" xfId="0" applyNumberFormat="1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171" fontId="15" fillId="0" borderId="0" xfId="0" applyNumberFormat="1" applyFont="1" applyAlignment="1" applyProtection="1">
      <alignment horizontal="center" vertical="center"/>
      <protection locked="0"/>
    </xf>
    <xf numFmtId="10" fontId="0" fillId="0" borderId="0" xfId="0" applyNumberFormat="1" applyAlignment="1">
      <alignment vertical="center"/>
    </xf>
    <xf numFmtId="10" fontId="0" fillId="0" borderId="0" xfId="0" applyNumberFormat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10" fontId="0" fillId="0" borderId="0" xfId="0" applyNumberFormat="1" applyAlignment="1">
      <alignment horizontal="center"/>
    </xf>
    <xf numFmtId="166" fontId="5" fillId="0" borderId="0" xfId="0" applyNumberFormat="1" applyFont="1" applyAlignment="1" applyProtection="1">
      <alignment horizontal="left" vertical="center"/>
      <protection locked="0"/>
    </xf>
    <xf numFmtId="166" fontId="7" fillId="0" borderId="0" xfId="0" applyNumberFormat="1" applyFont="1" applyAlignment="1" applyProtection="1">
      <alignment horizontal="center" vertical="center"/>
      <protection locked="0"/>
    </xf>
    <xf numFmtId="166" fontId="10" fillId="0" borderId="0" xfId="0" applyNumberFormat="1" applyFont="1" applyAlignment="1" applyProtection="1">
      <alignment horizontal="center" vertical="center"/>
      <protection locked="0"/>
    </xf>
    <xf numFmtId="166" fontId="2" fillId="0" borderId="0" xfId="0" applyNumberFormat="1" applyFont="1" applyAlignment="1" applyProtection="1">
      <alignment horizontal="center"/>
      <protection locked="0"/>
    </xf>
    <xf numFmtId="166" fontId="0" fillId="0" borderId="0" xfId="0" applyNumberFormat="1"/>
    <xf numFmtId="2" fontId="9" fillId="0" borderId="0" xfId="0" applyNumberFormat="1" applyFont="1" applyAlignment="1">
      <alignment horizontal="center" vertical="center"/>
    </xf>
    <xf numFmtId="1" fontId="3" fillId="0" borderId="0" xfId="0" applyNumberFormat="1" applyFont="1" applyAlignment="1" applyProtection="1">
      <alignment horizontal="center" vertical="center"/>
      <protection locked="0"/>
    </xf>
    <xf numFmtId="166" fontId="9" fillId="0" borderId="0" xfId="0" applyNumberFormat="1" applyFont="1" applyAlignment="1">
      <alignment horizontal="center" vertical="center"/>
    </xf>
    <xf numFmtId="166" fontId="12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Font="1"/>
    <xf numFmtId="166" fontId="12" fillId="0" borderId="0" xfId="0" applyNumberFormat="1" applyFont="1" applyAlignment="1">
      <alignment horizontal="center"/>
    </xf>
    <xf numFmtId="166" fontId="16" fillId="0" borderId="0" xfId="0" applyNumberFormat="1" applyFont="1" applyAlignment="1">
      <alignment horizontal="center" vertical="center"/>
    </xf>
    <xf numFmtId="166" fontId="10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1" fontId="3" fillId="0" borderId="0" xfId="0" applyNumberFormat="1" applyFont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 vertical="center"/>
    </xf>
  </cellXfs>
  <cellStyles count="2">
    <cellStyle name="Standaard" xfId="0" builtinId="0"/>
    <cellStyle name="Verklarende tekst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E6E6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atersport\tr\metingen\Flying%20Phantom%20input-measurement-form-open-cats-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oogle\watersport\tr\2019\texel\input%20measurement%20form%20open%20cats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google\watersport\tr\2020\trtotal%202020-08-15.xlsx" TargetMode="External"/><Relationship Id="rId1" Type="http://schemas.openxmlformats.org/officeDocument/2006/relationships/externalLinkPath" Target="/google/watersport/tr/2020/trtotal%202020-08-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 form"/>
      <sheetName val="data trtotal"/>
    </sheetNames>
    <sheetDataSet>
      <sheetData sheetId="0" refreshError="1">
        <row r="3">
          <cell r="B3" t="str">
            <v>Flying Phantom</v>
          </cell>
        </row>
        <row r="4">
          <cell r="B4">
            <v>2</v>
          </cell>
        </row>
        <row r="12">
          <cell r="N12">
            <v>7.07</v>
          </cell>
        </row>
        <row r="13">
          <cell r="B13">
            <v>0</v>
          </cell>
          <cell r="N13">
            <v>1.548</v>
          </cell>
        </row>
        <row r="14">
          <cell r="B14" t="str">
            <v>5,50m</v>
          </cell>
          <cell r="N14">
            <v>0</v>
          </cell>
        </row>
        <row r="15">
          <cell r="B15" t="str">
            <v>5,5m</v>
          </cell>
          <cell r="N15">
            <v>6.8120000000000003</v>
          </cell>
        </row>
        <row r="16">
          <cell r="B16">
            <v>2.25</v>
          </cell>
          <cell r="N16">
            <v>0</v>
          </cell>
        </row>
        <row r="17">
          <cell r="B17">
            <v>3</v>
          </cell>
          <cell r="N17">
            <v>1.601</v>
          </cell>
        </row>
        <row r="18">
          <cell r="B18">
            <v>0.41499999999999998</v>
          </cell>
          <cell r="N18">
            <v>3.2000000000000001E-2</v>
          </cell>
        </row>
        <row r="19">
          <cell r="B19">
            <v>2</v>
          </cell>
        </row>
        <row r="20">
          <cell r="B20">
            <v>158</v>
          </cell>
          <cell r="O20">
            <v>0</v>
          </cell>
        </row>
        <row r="21">
          <cell r="B21">
            <v>159.6</v>
          </cell>
        </row>
        <row r="25">
          <cell r="B25">
            <v>9.1999999999999993</v>
          </cell>
        </row>
        <row r="26">
          <cell r="B26">
            <v>2.2050000000000001</v>
          </cell>
        </row>
        <row r="27">
          <cell r="B27">
            <v>0.09</v>
          </cell>
        </row>
        <row r="28">
          <cell r="B28">
            <v>2.2320000000000002</v>
          </cell>
        </row>
        <row r="29">
          <cell r="B29">
            <v>4.4999999999999998E-2</v>
          </cell>
        </row>
        <row r="30">
          <cell r="B30">
            <v>9.0500000000000007</v>
          </cell>
        </row>
        <row r="31">
          <cell r="B31">
            <v>0.995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0</v>
          </cell>
          <cell r="N37">
            <v>10.24</v>
          </cell>
        </row>
        <row r="38">
          <cell r="B38">
            <v>0</v>
          </cell>
          <cell r="N38">
            <v>9.2799999999999994</v>
          </cell>
        </row>
        <row r="39">
          <cell r="B39">
            <v>0</v>
          </cell>
          <cell r="N39">
            <v>4.18</v>
          </cell>
        </row>
        <row r="40">
          <cell r="B40">
            <v>8.9700000000000006</v>
          </cell>
          <cell r="N40">
            <v>2.5</v>
          </cell>
        </row>
        <row r="41">
          <cell r="B41">
            <v>0.1</v>
          </cell>
        </row>
        <row r="43">
          <cell r="C43">
            <v>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 form"/>
      <sheetName val="data trtotal"/>
    </sheetNames>
    <sheetDataSet>
      <sheetData sheetId="0">
        <row r="5">
          <cell r="B5">
            <v>43623</v>
          </cell>
        </row>
        <row r="6">
          <cell r="B6" t="str">
            <v>TestSailor</v>
          </cell>
        </row>
        <row r="7">
          <cell r="B7" t="str">
            <v>TheMeasurer</v>
          </cell>
        </row>
        <row r="8">
          <cell r="B8">
            <v>111</v>
          </cell>
        </row>
        <row r="9">
          <cell r="B9">
            <v>222</v>
          </cell>
        </row>
        <row r="10">
          <cell r="B10">
            <v>333</v>
          </cell>
        </row>
        <row r="11">
          <cell r="B11">
            <v>444</v>
          </cell>
        </row>
        <row r="12">
          <cell r="B12">
            <v>999999</v>
          </cell>
        </row>
        <row r="23">
          <cell r="B23" t="str">
            <v>Test</v>
          </cell>
        </row>
        <row r="45">
          <cell r="O45">
            <v>0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RTOTAL"/>
    </sheetNames>
    <sheetDataSet>
      <sheetData sheetId="0">
        <row r="7">
          <cell r="A7" t="str">
            <v>A-Class</v>
          </cell>
          <cell r="B7">
            <v>1</v>
          </cell>
          <cell r="C7">
            <v>99.642108344007013</v>
          </cell>
          <cell r="D7">
            <v>95.132792144791381</v>
          </cell>
        </row>
        <row r="8">
          <cell r="A8" t="str">
            <v>A-Class Classic (straight/constant curve foils)</v>
          </cell>
          <cell r="B8">
            <v>1</v>
          </cell>
          <cell r="C8">
            <v>100.67483473838638</v>
          </cell>
          <cell r="D8">
            <v>96.118782375746193</v>
          </cell>
        </row>
        <row r="9">
          <cell r="A9" t="str">
            <v>Aesticat 530</v>
          </cell>
          <cell r="B9">
            <v>2</v>
          </cell>
          <cell r="C9">
            <v>125.82038674208202</v>
          </cell>
          <cell r="D9">
            <v>117.72487923110828</v>
          </cell>
        </row>
        <row r="10">
          <cell r="A10" t="str">
            <v>AHPC Capricorn F18</v>
          </cell>
          <cell r="B10">
            <v>2</v>
          </cell>
          <cell r="C10">
            <v>104.91742812487391</v>
          </cell>
          <cell r="D10">
            <v>100.33161247468</v>
          </cell>
        </row>
        <row r="11">
          <cell r="A11" t="str">
            <v>AHPC Taipan 4.9</v>
          </cell>
          <cell r="B11">
            <v>2</v>
          </cell>
          <cell r="C11">
            <v>106.75341311951644</v>
          </cell>
          <cell r="D11">
            <v>102.45065043176872</v>
          </cell>
        </row>
        <row r="12">
          <cell r="A12" t="str">
            <v>AHPC Taipan 4.9 Solo</v>
          </cell>
          <cell r="B12">
            <v>1</v>
          </cell>
          <cell r="C12">
            <v>107.97127544465374</v>
          </cell>
          <cell r="D12">
            <v>102.67124737113532</v>
          </cell>
        </row>
        <row r="13">
          <cell r="A13" t="str">
            <v>Bim 16 - Javelin 16 Solo</v>
          </cell>
          <cell r="B13">
            <v>1</v>
          </cell>
          <cell r="C13">
            <v>107.07343880844896</v>
          </cell>
          <cell r="D13">
            <v>102.06026988558934</v>
          </cell>
        </row>
        <row r="14">
          <cell r="A14" t="str">
            <v>Bim Javelin 18 Hightech</v>
          </cell>
          <cell r="B14">
            <v>2</v>
          </cell>
          <cell r="C14">
            <v>102.22149970840225</v>
          </cell>
          <cell r="D14">
            <v>97.332274994404258</v>
          </cell>
        </row>
        <row r="15">
          <cell r="A15" t="str">
            <v>Bim 20 Speciaal 2007</v>
          </cell>
          <cell r="B15">
            <v>2</v>
          </cell>
          <cell r="C15">
            <v>107.2649341255196</v>
          </cell>
          <cell r="D15">
            <v>100.67485416250844</v>
          </cell>
        </row>
        <row r="16">
          <cell r="A16" t="str">
            <v>Bimare F16</v>
          </cell>
          <cell r="B16">
            <v>2</v>
          </cell>
          <cell r="C16">
            <v>107.69284720816007</v>
          </cell>
          <cell r="D16">
            <v>103.32070577582665</v>
          </cell>
        </row>
        <row r="17">
          <cell r="A17" t="str">
            <v>Blade 16 double light (WS &lt; 123 kgs)</v>
          </cell>
          <cell r="B17">
            <v>2</v>
          </cell>
          <cell r="C17">
            <v>105.69001077535157</v>
          </cell>
          <cell r="D17">
            <v>101.45071643826782</v>
          </cell>
        </row>
        <row r="18">
          <cell r="A18" t="str">
            <v>Blade 16 Solo light (WS&lt; 119 kgs)</v>
          </cell>
          <cell r="B18">
            <v>1</v>
          </cell>
          <cell r="C18">
            <v>106.53150460810764</v>
          </cell>
          <cell r="D18">
            <v>101.3959635454509</v>
          </cell>
        </row>
        <row r="19">
          <cell r="A19" t="str">
            <v>Blade F16 (1)</v>
          </cell>
          <cell r="B19">
            <v>1</v>
          </cell>
          <cell r="C19">
            <v>108.87863805667132</v>
          </cell>
          <cell r="D19">
            <v>103.53979364673148</v>
          </cell>
        </row>
        <row r="20">
          <cell r="A20" t="str">
            <v>Blade F16 (2)</v>
          </cell>
          <cell r="B20">
            <v>2</v>
          </cell>
          <cell r="C20">
            <v>107.47590747441842</v>
          </cell>
          <cell r="D20">
            <v>103.11804998221032</v>
          </cell>
        </row>
        <row r="21">
          <cell r="A21" t="str">
            <v>Catapult</v>
          </cell>
          <cell r="B21">
            <v>1</v>
          </cell>
          <cell r="C21">
            <v>122.11087384059837</v>
          </cell>
          <cell r="D21">
            <v>112.31784922471792</v>
          </cell>
        </row>
        <row r="22">
          <cell r="A22" t="str">
            <v>Cirrus F18</v>
          </cell>
          <cell r="B22">
            <v>2</v>
          </cell>
          <cell r="C22">
            <v>104.91742812487391</v>
          </cell>
          <cell r="D22">
            <v>100.33161247468</v>
          </cell>
        </row>
        <row r="23">
          <cell r="A23" t="str">
            <v>Cirrus Ocean</v>
          </cell>
          <cell r="B23">
            <v>2</v>
          </cell>
          <cell r="C23">
            <v>110.04178632673722</v>
          </cell>
          <cell r="D23">
            <v>105.16183892669993</v>
          </cell>
        </row>
        <row r="24">
          <cell r="A24" t="str">
            <v>Cobra 5M</v>
          </cell>
          <cell r="B24">
            <v>2</v>
          </cell>
          <cell r="C24">
            <v>105.21530382678715</v>
          </cell>
          <cell r="D24">
            <v>99.512234810923317</v>
          </cell>
        </row>
        <row r="25">
          <cell r="A25" t="str">
            <v>Condor 16</v>
          </cell>
          <cell r="B25">
            <v>2</v>
          </cell>
          <cell r="C25">
            <v>114.21915845998298</v>
          </cell>
          <cell r="D25">
            <v>108.26419775752542</v>
          </cell>
        </row>
        <row r="26">
          <cell r="A26" t="str">
            <v>Coolcat 15(1)</v>
          </cell>
          <cell r="B26">
            <v>1</v>
          </cell>
          <cell r="C26">
            <v>128.27237669703638</v>
          </cell>
          <cell r="D26">
            <v>121.62526038888764</v>
          </cell>
        </row>
        <row r="27">
          <cell r="A27" t="str">
            <v>Coolcat 15(2)</v>
          </cell>
          <cell r="B27">
            <v>2</v>
          </cell>
          <cell r="C27">
            <v>128.70923029750131</v>
          </cell>
          <cell r="D27">
            <v>121.16909693389907</v>
          </cell>
        </row>
        <row r="28">
          <cell r="A28" t="str">
            <v>Coolcat 18</v>
          </cell>
          <cell r="B28">
            <v>2</v>
          </cell>
          <cell r="C28">
            <v>115.17316695850144</v>
          </cell>
          <cell r="D28">
            <v>109.26966214165502</v>
          </cell>
        </row>
        <row r="29">
          <cell r="A29" t="str">
            <v>Coolcat 18S</v>
          </cell>
          <cell r="B29">
            <v>2</v>
          </cell>
          <cell r="C29">
            <v>115.53643361439973</v>
          </cell>
          <cell r="D29">
            <v>110.3534790407313</v>
          </cell>
        </row>
        <row r="30">
          <cell r="A30" t="str">
            <v>Corneel 18</v>
          </cell>
          <cell r="B30">
            <v>2</v>
          </cell>
          <cell r="C30">
            <v>109.27645227814115</v>
          </cell>
          <cell r="D30">
            <v>103.68853954624647</v>
          </cell>
        </row>
        <row r="31">
          <cell r="A31" t="str">
            <v>Dart 15</v>
          </cell>
          <cell r="B31">
            <v>1</v>
          </cell>
          <cell r="C31">
            <v>130.19653280094406</v>
          </cell>
          <cell r="D31">
            <v>122.74923537209681</v>
          </cell>
        </row>
        <row r="32">
          <cell r="A32" t="str">
            <v>Dart 15 S</v>
          </cell>
          <cell r="B32">
            <v>1</v>
          </cell>
          <cell r="C32">
            <v>125.08832995337589</v>
          </cell>
          <cell r="D32">
            <v>119.7841289195852</v>
          </cell>
        </row>
        <row r="33">
          <cell r="A33" t="str">
            <v>Dart 16</v>
          </cell>
          <cell r="B33">
            <v>2</v>
          </cell>
          <cell r="C33">
            <v>127.2809373095733</v>
          </cell>
          <cell r="D33">
            <v>120.2363066684938</v>
          </cell>
        </row>
        <row r="34">
          <cell r="A34" t="str">
            <v>Dart 18</v>
          </cell>
          <cell r="B34">
            <v>2</v>
          </cell>
          <cell r="C34">
            <v>120.97280524008838</v>
          </cell>
          <cell r="D34">
            <v>113.27214101760329</v>
          </cell>
        </row>
        <row r="35">
          <cell r="A35" t="str">
            <v>Dart 18 Cat Boat</v>
          </cell>
          <cell r="B35">
            <v>1</v>
          </cell>
          <cell r="C35">
            <v>121.76406110289695</v>
          </cell>
          <cell r="D35">
            <v>114.51135492198559</v>
          </cell>
        </row>
        <row r="36">
          <cell r="A36" t="str">
            <v>Dart 18(2) Square Head</v>
          </cell>
          <cell r="B36">
            <v>2</v>
          </cell>
          <cell r="C36">
            <v>122.04437150910866</v>
          </cell>
          <cell r="D36">
            <v>114.08621888371549</v>
          </cell>
        </row>
        <row r="37">
          <cell r="A37" t="str">
            <v>Dart 20</v>
          </cell>
          <cell r="B37">
            <v>2</v>
          </cell>
          <cell r="C37">
            <v>107.91430025613222</v>
          </cell>
          <cell r="D37">
            <v>102.27901540219445</v>
          </cell>
        </row>
        <row r="38">
          <cell r="A38" t="str">
            <v>Dart 20 Tsx</v>
          </cell>
          <cell r="B38">
            <v>2</v>
          </cell>
          <cell r="C38">
            <v>110.24500761686393</v>
          </cell>
          <cell r="D38">
            <v>104.81303454743774</v>
          </cell>
        </row>
        <row r="39">
          <cell r="A39" t="str">
            <v>Dart 6000</v>
          </cell>
          <cell r="B39">
            <v>2</v>
          </cell>
          <cell r="C39">
            <v>111.43423594387716</v>
          </cell>
          <cell r="D39">
            <v>107.00025124232329</v>
          </cell>
        </row>
        <row r="40">
          <cell r="A40" t="str">
            <v>Dart Hawk F18</v>
          </cell>
          <cell r="B40">
            <v>2</v>
          </cell>
          <cell r="C40">
            <v>104.95771809188007</v>
          </cell>
          <cell r="D40">
            <v>100.37014141528145</v>
          </cell>
        </row>
        <row r="41">
          <cell r="A41" t="str">
            <v>Dart Sting Solo - Jib</v>
          </cell>
          <cell r="B41">
            <v>1</v>
          </cell>
          <cell r="C41">
            <v>120.77172056432539</v>
          </cell>
          <cell r="D41">
            <v>116.83323502934741</v>
          </cell>
        </row>
        <row r="42">
          <cell r="A42" t="str">
            <v>Dart Sting Solo - no jib</v>
          </cell>
          <cell r="B42">
            <v>1</v>
          </cell>
          <cell r="C42">
            <v>127.17241067982853</v>
          </cell>
          <cell r="D42">
            <v>120.93688327160621</v>
          </cell>
        </row>
        <row r="43">
          <cell r="A43" t="str">
            <v>Dominator</v>
          </cell>
          <cell r="B43">
            <v>2</v>
          </cell>
          <cell r="C43">
            <v>104.73908798082184</v>
          </cell>
          <cell r="D43">
            <v>97.992544076212965</v>
          </cell>
        </row>
        <row r="44">
          <cell r="A44" t="str">
            <v>Eagle 18 Carbon Sl</v>
          </cell>
          <cell r="B44">
            <v>2</v>
          </cell>
          <cell r="C44">
            <v>102.77652526853574</v>
          </cell>
          <cell r="D44">
            <v>98.249000676031343</v>
          </cell>
        </row>
        <row r="45">
          <cell r="A45" t="str">
            <v>Eagle 20 Carbon</v>
          </cell>
          <cell r="B45">
            <v>2</v>
          </cell>
          <cell r="C45">
            <v>94.384303033381357</v>
          </cell>
          <cell r="D45">
            <v>89.524937940384476</v>
          </cell>
        </row>
        <row r="46">
          <cell r="A46" t="str">
            <v>Eagle 20 Carbon M</v>
          </cell>
          <cell r="B46">
            <v>2</v>
          </cell>
          <cell r="C46">
            <v>100.44903044589604</v>
          </cell>
          <cell r="D46">
            <v>93.627256239093299</v>
          </cell>
        </row>
        <row r="47">
          <cell r="A47" t="str">
            <v>Eagle 20 Carbon S</v>
          </cell>
          <cell r="B47">
            <v>2</v>
          </cell>
          <cell r="C47">
            <v>93.91740096972589</v>
          </cell>
          <cell r="D47">
            <v>89.131798243600443</v>
          </cell>
        </row>
        <row r="48">
          <cell r="A48" t="str">
            <v>Eagle 20 Carbon Sk</v>
          </cell>
          <cell r="B48">
            <v>2</v>
          </cell>
          <cell r="C48">
            <v>93.91740096972589</v>
          </cell>
          <cell r="D48">
            <v>89.527675484296921</v>
          </cell>
        </row>
        <row r="49">
          <cell r="A49" t="str">
            <v>Eagle 20 Carbon T</v>
          </cell>
          <cell r="B49">
            <v>2</v>
          </cell>
          <cell r="C49">
            <v>95.595021335014948</v>
          </cell>
          <cell r="D49">
            <v>90.839127155296154</v>
          </cell>
        </row>
        <row r="50">
          <cell r="A50" t="str">
            <v>Eagle 20 Carbon Te</v>
          </cell>
          <cell r="B50">
            <v>2</v>
          </cell>
          <cell r="C50">
            <v>96.356628496336796</v>
          </cell>
          <cell r="D50">
            <v>91.358785181048844</v>
          </cell>
        </row>
        <row r="51">
          <cell r="A51" t="str">
            <v>Eagle 20 Hilger</v>
          </cell>
          <cell r="B51">
            <v>2</v>
          </cell>
          <cell r="C51">
            <v>97.224872629485091</v>
          </cell>
          <cell r="D51">
            <v>92.716178066608691</v>
          </cell>
        </row>
        <row r="52">
          <cell r="A52" t="str">
            <v>Eagle 20 Strbroek 4 Small Rig And Spi</v>
          </cell>
          <cell r="B52">
            <v>2</v>
          </cell>
          <cell r="C52">
            <v>101.40180757954809</v>
          </cell>
          <cell r="D52">
            <v>95.647802965960295</v>
          </cell>
        </row>
        <row r="53">
          <cell r="A53" t="str">
            <v>Eagle 20 Strbroek Large</v>
          </cell>
          <cell r="B53">
            <v>2</v>
          </cell>
          <cell r="C53">
            <v>91.029020099723525</v>
          </cell>
          <cell r="D53">
            <v>86.472720434617742</v>
          </cell>
        </row>
        <row r="54">
          <cell r="A54" t="str">
            <v>Eagle 20 Strbroek Small No Jib</v>
          </cell>
          <cell r="B54">
            <v>2</v>
          </cell>
          <cell r="C54">
            <v>102.2643313106346</v>
          </cell>
          <cell r="D54">
            <v>95.809811440600924</v>
          </cell>
        </row>
        <row r="55">
          <cell r="A55" t="str">
            <v>Eagle F20</v>
          </cell>
          <cell r="B55">
            <v>2</v>
          </cell>
          <cell r="C55">
            <v>101.17251780238581</v>
          </cell>
          <cell r="D55">
            <v>96.196695198272209</v>
          </cell>
        </row>
        <row r="56">
          <cell r="A56" t="str">
            <v>Eagle HF</v>
          </cell>
          <cell r="B56">
            <v>2</v>
          </cell>
          <cell r="C56">
            <v>92.440143966109389</v>
          </cell>
          <cell r="D56">
            <v>88.218262991213464</v>
          </cell>
        </row>
        <row r="57">
          <cell r="A57" t="str">
            <v>Eagle HF wing</v>
          </cell>
          <cell r="B57">
            <v>2</v>
          </cell>
          <cell r="C57">
            <v>89.193244848085868</v>
          </cell>
          <cell r="D57">
            <v>85.478643832320742</v>
          </cell>
        </row>
        <row r="58">
          <cell r="A58" t="str">
            <v>Eagle Xxl  2008</v>
          </cell>
          <cell r="B58">
            <v>2</v>
          </cell>
          <cell r="C58">
            <v>94.174231868944005</v>
          </cell>
          <cell r="D58">
            <v>89.631387902057241</v>
          </cell>
        </row>
        <row r="59">
          <cell r="A59" t="str">
            <v>Exploder 20</v>
          </cell>
          <cell r="B59">
            <v>2</v>
          </cell>
          <cell r="C59">
            <v>101.67734040697485</v>
          </cell>
          <cell r="D59">
            <v>96.480909824886226</v>
          </cell>
        </row>
        <row r="60">
          <cell r="A60" t="str">
            <v>Exploder 20 Carbon</v>
          </cell>
          <cell r="B60">
            <v>2</v>
          </cell>
          <cell r="C60">
            <v>98.32573206661425</v>
          </cell>
          <cell r="D60">
            <v>93.368770629175145</v>
          </cell>
        </row>
        <row r="61">
          <cell r="A61" t="str">
            <v>Exploder F18</v>
          </cell>
          <cell r="B61">
            <v>2</v>
          </cell>
          <cell r="C61">
            <v>104.91742812487391</v>
          </cell>
          <cell r="D61">
            <v>100.33161247468</v>
          </cell>
        </row>
        <row r="62">
          <cell r="A62" t="str">
            <v>Extreme 20</v>
          </cell>
          <cell r="B62">
            <v>2</v>
          </cell>
          <cell r="C62">
            <v>92.779114209357544</v>
          </cell>
          <cell r="D62">
            <v>87.201445465638244</v>
          </cell>
        </row>
        <row r="63">
          <cell r="A63" t="str">
            <v>Extreme 20 Big Wing</v>
          </cell>
          <cell r="B63">
            <v>2</v>
          </cell>
          <cell r="C63">
            <v>94.682728725547278</v>
          </cell>
          <cell r="D63">
            <v>87.288840553969749</v>
          </cell>
        </row>
        <row r="64">
          <cell r="A64" t="str">
            <v>Extreme 20 Big Wing Code 0</v>
          </cell>
          <cell r="B64">
            <v>2</v>
          </cell>
          <cell r="C64">
            <v>79.991710381144173</v>
          </cell>
          <cell r="D64">
            <v>79.347566981781071</v>
          </cell>
        </row>
        <row r="65">
          <cell r="A65" t="str">
            <v>Extreme 20 Ned1</v>
          </cell>
          <cell r="B65">
            <v>2</v>
          </cell>
          <cell r="C65">
            <v>91.78638969025728</v>
          </cell>
          <cell r="D65">
            <v>87.086838420439719</v>
          </cell>
        </row>
        <row r="66">
          <cell r="A66" t="str">
            <v>Extreme 20 Small Wing</v>
          </cell>
          <cell r="B66">
            <v>2</v>
          </cell>
          <cell r="C66">
            <v>98.022802857965601</v>
          </cell>
          <cell r="D66">
            <v>89.552018342952508</v>
          </cell>
        </row>
        <row r="67">
          <cell r="A67" t="str">
            <v>Extreme 20 Small Wing Code 0</v>
          </cell>
          <cell r="B67">
            <v>2</v>
          </cell>
          <cell r="C67">
            <v>81.496986041342794</v>
          </cell>
          <cell r="D67">
            <v>80.771289071504583</v>
          </cell>
        </row>
        <row r="68">
          <cell r="A68" t="str">
            <v>Extreme 20 Vs</v>
          </cell>
          <cell r="B68">
            <v>2</v>
          </cell>
          <cell r="C68">
            <v>90.814107896614118</v>
          </cell>
          <cell r="D68">
            <v>87.095408654117989</v>
          </cell>
        </row>
        <row r="69">
          <cell r="A69" t="str">
            <v>F1 Sailing One</v>
          </cell>
          <cell r="B69">
            <v>3</v>
          </cell>
          <cell r="C69">
            <v>99.801488787840057</v>
          </cell>
          <cell r="D69">
            <v>95.106094977617019</v>
          </cell>
        </row>
        <row r="70">
          <cell r="A70" t="str">
            <v>Falcon 16 - Solo light (WS&lt;119 kgs)</v>
          </cell>
          <cell r="B70">
            <v>1</v>
          </cell>
          <cell r="C70">
            <v>106.53150460810764</v>
          </cell>
          <cell r="D70">
            <v>101.3959635454509</v>
          </cell>
        </row>
        <row r="71">
          <cell r="A71" t="str">
            <v>Falcon 16 Double light (WS&lt;123 kgs)</v>
          </cell>
          <cell r="B71">
            <v>2</v>
          </cell>
          <cell r="C71">
            <v>105.69001077535157</v>
          </cell>
          <cell r="D71">
            <v>101.45071643826782</v>
          </cell>
        </row>
        <row r="72">
          <cell r="A72" t="str">
            <v>Falcon F16 - 2 crew</v>
          </cell>
          <cell r="B72">
            <v>2</v>
          </cell>
          <cell r="C72">
            <v>107.90844956952357</v>
          </cell>
          <cell r="D72">
            <v>103.52213701832702</v>
          </cell>
        </row>
        <row r="73">
          <cell r="A73" t="str">
            <v>Falcon F16 - cat boat</v>
          </cell>
          <cell r="B73">
            <v>1</v>
          </cell>
          <cell r="C73">
            <v>109.77353999116747</v>
          </cell>
          <cell r="D73">
            <v>104.35835150331691</v>
          </cell>
        </row>
        <row r="74">
          <cell r="A74" t="str">
            <v>Falcon F18</v>
          </cell>
          <cell r="B74">
            <v>2</v>
          </cell>
          <cell r="C74">
            <v>104.95771809188007</v>
          </cell>
          <cell r="D74">
            <v>100.37014141528145</v>
          </cell>
        </row>
        <row r="75">
          <cell r="A75" t="str">
            <v>F-Cat</v>
          </cell>
          <cell r="B75">
            <v>2</v>
          </cell>
          <cell r="C75">
            <v>127.76799212159567</v>
          </cell>
          <cell r="D75">
            <v>121.39198644158735</v>
          </cell>
        </row>
        <row r="76">
          <cell r="A76" t="str">
            <v>Flaxcat Proto 2 2003</v>
          </cell>
          <cell r="B76">
            <v>2</v>
          </cell>
          <cell r="C76">
            <v>121.41113959625247</v>
          </cell>
          <cell r="D76">
            <v>114.82722173755565</v>
          </cell>
        </row>
        <row r="77">
          <cell r="A77" t="str">
            <v>Flying Dutchman M20</v>
          </cell>
          <cell r="B77">
            <v>2</v>
          </cell>
          <cell r="C77">
            <v>92.197209871280052</v>
          </cell>
          <cell r="D77">
            <v>88.51648366741972</v>
          </cell>
        </row>
        <row r="78">
          <cell r="A78" t="str">
            <v>Flying Duthcman M20  Junior</v>
          </cell>
          <cell r="B78">
            <v>2</v>
          </cell>
          <cell r="C78">
            <v>93.528749355010888</v>
          </cell>
          <cell r="D78">
            <v>89.396288274062698</v>
          </cell>
        </row>
        <row r="79">
          <cell r="A79" t="str">
            <v>Flying Phantom</v>
          </cell>
          <cell r="B79">
            <v>2</v>
          </cell>
          <cell r="C79">
            <v>94.522059808562119</v>
          </cell>
          <cell r="D79">
            <v>88.646157850562687</v>
          </cell>
        </row>
        <row r="80">
          <cell r="A80" t="str">
            <v>Flying Phantom Essential</v>
          </cell>
          <cell r="B80">
            <v>2</v>
          </cell>
          <cell r="C80">
            <v>100.55350713844318</v>
          </cell>
          <cell r="D80">
            <v>94.806462010557723</v>
          </cell>
        </row>
        <row r="81">
          <cell r="A81" t="str">
            <v>Flying Phantom Essential Side racks</v>
          </cell>
          <cell r="B81">
            <v>2</v>
          </cell>
          <cell r="C81">
            <v>99.702155367439346</v>
          </cell>
          <cell r="D81">
            <v>93.986084921997033</v>
          </cell>
        </row>
        <row r="82">
          <cell r="A82" t="str">
            <v>Flying Phantom no jib</v>
          </cell>
          <cell r="B82">
            <v>2</v>
          </cell>
          <cell r="C82">
            <v>102.76234025848798</v>
          </cell>
          <cell r="D82">
            <v>93.379769501232715</v>
          </cell>
        </row>
        <row r="83">
          <cell r="A83" t="str">
            <v>Formula 16 Double</v>
          </cell>
          <cell r="B83">
            <v>2</v>
          </cell>
          <cell r="C83">
            <v>107.47590747441842</v>
          </cell>
          <cell r="D83">
            <v>103.11804998221032</v>
          </cell>
        </row>
        <row r="84">
          <cell r="A84" t="str">
            <v>Formula 16 Solo</v>
          </cell>
          <cell r="B84">
            <v>1</v>
          </cell>
          <cell r="C84">
            <v>108.87863805667132</v>
          </cell>
          <cell r="D84">
            <v>103.53979364673148</v>
          </cell>
        </row>
        <row r="85">
          <cell r="A85" t="str">
            <v>Formula 18</v>
          </cell>
          <cell r="B85">
            <v>2</v>
          </cell>
          <cell r="C85">
            <v>104.95771809188007</v>
          </cell>
          <cell r="D85">
            <v>100.37014141528145</v>
          </cell>
        </row>
        <row r="86">
          <cell r="A86" t="str">
            <v>Formula 18 Hightech</v>
          </cell>
          <cell r="B86">
            <v>2</v>
          </cell>
          <cell r="C86">
            <v>102.22149970840225</v>
          </cell>
          <cell r="D86">
            <v>97.332274994404258</v>
          </cell>
        </row>
        <row r="87">
          <cell r="A87" t="str">
            <v>Formula 18 No Jib</v>
          </cell>
          <cell r="B87">
            <v>2</v>
          </cell>
          <cell r="C87">
            <v>112.11998150302958</v>
          </cell>
          <cell r="D87">
            <v>104.97308703577731</v>
          </cell>
        </row>
        <row r="88">
          <cell r="A88" t="str">
            <v>Formula 20</v>
          </cell>
          <cell r="B88">
            <v>2</v>
          </cell>
          <cell r="C88">
            <v>101.17251780238581</v>
          </cell>
          <cell r="D88">
            <v>96.196695198272209</v>
          </cell>
        </row>
        <row r="89">
          <cell r="A89" t="str">
            <v>Formula 20 BiM</v>
          </cell>
          <cell r="B89">
            <v>2</v>
          </cell>
          <cell r="C89">
            <v>107.02332319859985</v>
          </cell>
          <cell r="D89">
            <v>99.949630618165443</v>
          </cell>
        </row>
        <row r="90">
          <cell r="A90" t="str">
            <v>Freestyle 474</v>
          </cell>
          <cell r="B90">
            <v>1</v>
          </cell>
          <cell r="C90">
            <v>120.99948939477149</v>
          </cell>
          <cell r="D90">
            <v>115.58417414778772</v>
          </cell>
        </row>
        <row r="91">
          <cell r="A91" t="str">
            <v>G Force 21</v>
          </cell>
          <cell r="B91">
            <v>2</v>
          </cell>
          <cell r="C91">
            <v>103.73068927410512</v>
          </cell>
          <cell r="D91">
            <v>99.293721914752467</v>
          </cell>
        </row>
        <row r="92">
          <cell r="A92" t="str">
            <v>G-Cat 5.0</v>
          </cell>
          <cell r="B92">
            <v>2</v>
          </cell>
          <cell r="C92">
            <v>118.14472404463447</v>
          </cell>
          <cell r="D92">
            <v>112.57580445580662</v>
          </cell>
        </row>
        <row r="93">
          <cell r="A93" t="str">
            <v>G-Cat 5.7</v>
          </cell>
          <cell r="B93">
            <v>2</v>
          </cell>
          <cell r="C93">
            <v>110.59843169716072</v>
          </cell>
          <cell r="D93">
            <v>106.28118305186025</v>
          </cell>
        </row>
        <row r="94">
          <cell r="A94" t="str">
            <v>Hawke Surfcat</v>
          </cell>
          <cell r="B94">
            <v>1</v>
          </cell>
          <cell r="C94">
            <v>132.00836298898574</v>
          </cell>
          <cell r="D94">
            <v>126.49802621419542</v>
          </cell>
        </row>
        <row r="95">
          <cell r="A95" t="str">
            <v>Goodall Viper Double</v>
          </cell>
          <cell r="B95">
            <v>2</v>
          </cell>
          <cell r="C95">
            <v>108.12273213856864</v>
          </cell>
          <cell r="D95">
            <v>103.72235949726108</v>
          </cell>
        </row>
        <row r="96">
          <cell r="A96" t="str">
            <v>Goodall Viper Foiling</v>
          </cell>
          <cell r="B96">
            <v>2</v>
          </cell>
          <cell r="C96">
            <v>104.70712459267484</v>
          </cell>
          <cell r="D96">
            <v>100.5919016460321</v>
          </cell>
        </row>
        <row r="97">
          <cell r="A97" t="str">
            <v>Goodall Viper Solo</v>
          </cell>
          <cell r="B97">
            <v>1</v>
          </cell>
          <cell r="C97">
            <v>109.62602291732362</v>
          </cell>
          <cell r="D97">
            <v>104.2233761554522</v>
          </cell>
        </row>
        <row r="98">
          <cell r="A98" t="str">
            <v>Hobie 13</v>
          </cell>
          <cell r="B98">
            <v>1</v>
          </cell>
          <cell r="C98">
            <v>143.3418881796604</v>
          </cell>
          <cell r="D98">
            <v>133.42230618123477</v>
          </cell>
        </row>
        <row r="99">
          <cell r="A99" t="str">
            <v>Hobie 14</v>
          </cell>
          <cell r="B99">
            <v>1</v>
          </cell>
          <cell r="C99">
            <v>133.41501101860055</v>
          </cell>
          <cell r="D99">
            <v>125.35099083385201</v>
          </cell>
        </row>
        <row r="100">
          <cell r="A100" t="str">
            <v>Hobie 14 race (With jib)</v>
          </cell>
          <cell r="B100">
            <v>1</v>
          </cell>
          <cell r="C100">
            <v>123.54261046838661</v>
          </cell>
          <cell r="D100">
            <v>119.12805948854576</v>
          </cell>
        </row>
        <row r="101">
          <cell r="A101" t="str">
            <v>Hobie 14S (2)</v>
          </cell>
          <cell r="B101">
            <v>2</v>
          </cell>
          <cell r="C101">
            <v>136.09213720750452</v>
          </cell>
          <cell r="D101">
            <v>127.33892961275882</v>
          </cell>
        </row>
        <row r="102">
          <cell r="A102" t="str">
            <v>Hobie 16</v>
          </cell>
          <cell r="B102">
            <v>2</v>
          </cell>
          <cell r="C102">
            <v>118.0489967060121</v>
          </cell>
          <cell r="D102">
            <v>113.31853988761706</v>
          </cell>
        </row>
        <row r="103">
          <cell r="A103" t="str">
            <v>Hobie 16 Easy</v>
          </cell>
          <cell r="B103">
            <v>2</v>
          </cell>
          <cell r="C103">
            <v>126.69443779307647</v>
          </cell>
          <cell r="D103">
            <v>118.49061462970717</v>
          </cell>
        </row>
        <row r="104">
          <cell r="A104" t="str">
            <v>Hobie 17 (without wings)</v>
          </cell>
          <cell r="B104">
            <v>1</v>
          </cell>
          <cell r="C104">
            <v>120.14612055931291</v>
          </cell>
          <cell r="D104">
            <v>113.90824046136079</v>
          </cell>
        </row>
        <row r="105">
          <cell r="A105" t="str">
            <v>Hobie 17S</v>
          </cell>
          <cell r="B105">
            <v>1</v>
          </cell>
          <cell r="C105">
            <v>111.57272378627744</v>
          </cell>
          <cell r="D105">
            <v>108.29101790248757</v>
          </cell>
        </row>
        <row r="106">
          <cell r="A106" t="str">
            <v>Hobie 18</v>
          </cell>
          <cell r="B106">
            <v>2</v>
          </cell>
          <cell r="C106">
            <v>107.12182632615098</v>
          </cell>
          <cell r="D106">
            <v>102.80884927340379</v>
          </cell>
        </row>
        <row r="107">
          <cell r="A107" t="str">
            <v>Hobie 18 Formula</v>
          </cell>
          <cell r="B107">
            <v>2</v>
          </cell>
          <cell r="C107">
            <v>105.82865138543312</v>
          </cell>
          <cell r="D107">
            <v>101.70688028676608</v>
          </cell>
        </row>
        <row r="108">
          <cell r="A108" t="str">
            <v>Hobie 18 Magnum (With wings)</v>
          </cell>
          <cell r="B108">
            <v>2</v>
          </cell>
          <cell r="C108">
            <v>107.61749868813966</v>
          </cell>
          <cell r="D108">
            <v>103.2528318962152</v>
          </cell>
        </row>
        <row r="109">
          <cell r="A109" t="str">
            <v>Hobie 20 Formula</v>
          </cell>
          <cell r="B109">
            <v>2</v>
          </cell>
          <cell r="C109">
            <v>105.72386174350298</v>
          </cell>
          <cell r="D109">
            <v>100.14740302787604</v>
          </cell>
        </row>
        <row r="110">
          <cell r="A110" t="str">
            <v>Hobie 21</v>
          </cell>
          <cell r="B110">
            <v>2</v>
          </cell>
          <cell r="C110">
            <v>97.977837354922812</v>
          </cell>
          <cell r="D110">
            <v>94.449798044867293</v>
          </cell>
        </row>
        <row r="111">
          <cell r="A111" t="str">
            <v>Hobie 21 Formula</v>
          </cell>
          <cell r="B111">
            <v>2</v>
          </cell>
          <cell r="C111">
            <v>97.972847216626405</v>
          </cell>
          <cell r="D111">
            <v>94.119074879946467</v>
          </cell>
        </row>
        <row r="112">
          <cell r="A112" t="str">
            <v>Hobie Fox F20</v>
          </cell>
          <cell r="B112">
            <v>2</v>
          </cell>
          <cell r="C112">
            <v>101.17251780238581</v>
          </cell>
          <cell r="D112">
            <v>96.196695198272209</v>
          </cell>
        </row>
        <row r="113">
          <cell r="A113" t="str">
            <v>Hobie FX One Cat Boat</v>
          </cell>
          <cell r="B113">
            <v>1</v>
          </cell>
          <cell r="C113">
            <v>110.43703059616172</v>
          </cell>
          <cell r="D113">
            <v>105.00349803181241</v>
          </cell>
        </row>
        <row r="114">
          <cell r="A114" t="str">
            <v>Hobie FX One Double</v>
          </cell>
          <cell r="B114">
            <v>2</v>
          </cell>
          <cell r="C114">
            <v>107.39806257332997</v>
          </cell>
          <cell r="D114">
            <v>103.22239794072983</v>
          </cell>
        </row>
        <row r="115">
          <cell r="A115" t="str">
            <v>Hobie Max</v>
          </cell>
          <cell r="B115">
            <v>2</v>
          </cell>
          <cell r="C115">
            <v>123.43770193395953</v>
          </cell>
          <cell r="D115">
            <v>116.5639650949369</v>
          </cell>
        </row>
        <row r="116">
          <cell r="A116" t="str">
            <v>Hobie Pacific (no wing-no spi)</v>
          </cell>
          <cell r="B116">
            <v>2</v>
          </cell>
          <cell r="C116">
            <v>110.64265443881197</v>
          </cell>
          <cell r="D116">
            <v>106.91491487945304</v>
          </cell>
        </row>
        <row r="117">
          <cell r="A117" t="str">
            <v>Hobie Tatoo</v>
          </cell>
          <cell r="B117">
            <v>2</v>
          </cell>
          <cell r="C117">
            <v>126.3698649420303</v>
          </cell>
          <cell r="D117">
            <v>122.49534671900321</v>
          </cell>
        </row>
        <row r="118">
          <cell r="A118" t="str">
            <v>Hobie Tiger F18</v>
          </cell>
          <cell r="B118">
            <v>2</v>
          </cell>
          <cell r="C118">
            <v>104.95771809188007</v>
          </cell>
          <cell r="D118">
            <v>100.37014141528145</v>
          </cell>
        </row>
        <row r="119">
          <cell r="A119" t="str">
            <v>Hobie Wildcat F18</v>
          </cell>
          <cell r="B119">
            <v>2</v>
          </cell>
          <cell r="C119">
            <v>104.95771809188007</v>
          </cell>
          <cell r="D119">
            <v>100.37014141528145</v>
          </cell>
        </row>
        <row r="120">
          <cell r="A120" t="str">
            <v>Hurricane 4.9</v>
          </cell>
          <cell r="B120">
            <v>2</v>
          </cell>
          <cell r="C120">
            <v>111.77137603496861</v>
          </cell>
          <cell r="D120">
            <v>106.283524523601</v>
          </cell>
        </row>
        <row r="121">
          <cell r="A121" t="str">
            <v>Hurricane 5.9</v>
          </cell>
          <cell r="B121">
            <v>2</v>
          </cell>
          <cell r="C121">
            <v>104.2116453791527</v>
          </cell>
          <cell r="D121">
            <v>99.942636385382286</v>
          </cell>
        </row>
        <row r="122">
          <cell r="A122" t="str">
            <v>Hurricane 5.9 Sport</v>
          </cell>
          <cell r="B122">
            <v>2</v>
          </cell>
          <cell r="C122">
            <v>105.53889161890746</v>
          </cell>
          <cell r="D122">
            <v>100.93778717314017</v>
          </cell>
        </row>
        <row r="123">
          <cell r="A123" t="str">
            <v>Hurricane 5.9 Sx</v>
          </cell>
          <cell r="B123">
            <v>2</v>
          </cell>
          <cell r="C123">
            <v>105.71801988477431</v>
          </cell>
          <cell r="D123">
            <v>100.96586209229388</v>
          </cell>
        </row>
        <row r="124">
          <cell r="A124" t="str">
            <v>Hurricane 500</v>
          </cell>
          <cell r="B124">
            <v>2</v>
          </cell>
          <cell r="C124">
            <v>117.23051997338187</v>
          </cell>
          <cell r="D124">
            <v>112.40499809793074</v>
          </cell>
        </row>
        <row r="125">
          <cell r="A125" t="str">
            <v>Hydra 16</v>
          </cell>
          <cell r="B125">
            <v>2</v>
          </cell>
          <cell r="C125">
            <v>123.2838806163234</v>
          </cell>
          <cell r="D125">
            <v>115.13422506381015</v>
          </cell>
        </row>
        <row r="126">
          <cell r="A126" t="str">
            <v>Hydra 18</v>
          </cell>
          <cell r="B126">
            <v>2</v>
          </cell>
          <cell r="C126">
            <v>107.36826054082906</v>
          </cell>
          <cell r="D126">
            <v>102.65841626808862</v>
          </cell>
        </row>
        <row r="127">
          <cell r="A127" t="str">
            <v>IFLY 15 Solo</v>
          </cell>
          <cell r="B127">
            <v>1</v>
          </cell>
          <cell r="C127">
            <v>111.1917698970435</v>
          </cell>
          <cell r="D127">
            <v>105.93447296167599</v>
          </cell>
        </row>
        <row r="128">
          <cell r="A128" t="str">
            <v xml:space="preserve">IFLY 15 Solo + code "F" </v>
          </cell>
          <cell r="B128">
            <v>1</v>
          </cell>
          <cell r="C128">
            <v>97.71045521430716</v>
          </cell>
          <cell r="D128">
            <v>96.715531425283316</v>
          </cell>
        </row>
        <row r="129">
          <cell r="A129" t="str">
            <v>IFLY 15 Double</v>
          </cell>
          <cell r="B129">
            <v>2</v>
          </cell>
          <cell r="C129">
            <v>119.10747244776631</v>
          </cell>
          <cell r="D129">
            <v>110.56372356633706</v>
          </cell>
        </row>
        <row r="130">
          <cell r="A130" t="str">
            <v xml:space="preserve">IFLY 15 Double + code "F" </v>
          </cell>
          <cell r="B130">
            <v>2</v>
          </cell>
          <cell r="C130">
            <v>103.89158949416156</v>
          </cell>
          <cell r="D130">
            <v>100.56343679619279</v>
          </cell>
        </row>
        <row r="131">
          <cell r="A131" t="str">
            <v>Iroise 2000</v>
          </cell>
          <cell r="B131">
            <v>2</v>
          </cell>
          <cell r="C131">
            <v>104.34165130545233</v>
          </cell>
          <cell r="D131">
            <v>97.900166363683979</v>
          </cell>
        </row>
        <row r="132">
          <cell r="A132" t="str">
            <v>Jtv 20</v>
          </cell>
          <cell r="B132">
            <v>2</v>
          </cell>
          <cell r="C132">
            <v>91.123875152055078</v>
          </cell>
          <cell r="D132">
            <v>86.950390036895072</v>
          </cell>
        </row>
        <row r="133">
          <cell r="A133" t="str">
            <v>Kat17-1</v>
          </cell>
          <cell r="B133">
            <v>2</v>
          </cell>
          <cell r="C133">
            <v>121.15054544202708</v>
          </cell>
          <cell r="D133">
            <v>113.44481721497174</v>
          </cell>
        </row>
        <row r="134">
          <cell r="A134" t="str">
            <v>Kl  F 18</v>
          </cell>
          <cell r="B134">
            <v>2</v>
          </cell>
          <cell r="C134">
            <v>104.91742812487391</v>
          </cell>
          <cell r="D134">
            <v>100.33161247468</v>
          </cell>
        </row>
        <row r="135">
          <cell r="A135" t="str">
            <v>KL 17 Regate</v>
          </cell>
          <cell r="B135">
            <v>2</v>
          </cell>
          <cell r="C135">
            <v>113.14913294325839</v>
          </cell>
          <cell r="D135">
            <v>107.68138359081618</v>
          </cell>
        </row>
        <row r="136">
          <cell r="A136" t="str">
            <v>M18</v>
          </cell>
          <cell r="B136">
            <v>1</v>
          </cell>
          <cell r="C136">
            <v>98.556649953777608</v>
          </cell>
          <cell r="D136">
            <v>95.21183789586469</v>
          </cell>
        </row>
        <row r="137">
          <cell r="A137" t="str">
            <v>M20</v>
          </cell>
          <cell r="B137">
            <v>2</v>
          </cell>
          <cell r="C137">
            <v>97.709749614362636</v>
          </cell>
          <cell r="D137">
            <v>92.01391410281515</v>
          </cell>
        </row>
        <row r="138">
          <cell r="A138" t="str">
            <v>M20 An1</v>
          </cell>
          <cell r="B138">
            <v>2</v>
          </cell>
          <cell r="C138">
            <v>96.741483098841584</v>
          </cell>
          <cell r="D138">
            <v>90.596413326243379</v>
          </cell>
        </row>
        <row r="139">
          <cell r="A139" t="str">
            <v>M20 Flying Vampire</v>
          </cell>
          <cell r="B139">
            <v>2</v>
          </cell>
          <cell r="C139">
            <v>85.987574224978317</v>
          </cell>
          <cell r="D139">
            <v>81.853042243176802</v>
          </cell>
        </row>
        <row r="140">
          <cell r="A140" t="str">
            <v>M20 Flying Vampire Little Green</v>
          </cell>
          <cell r="B140">
            <v>2</v>
          </cell>
          <cell r="C140">
            <v>89.662558697667933</v>
          </cell>
          <cell r="D140">
            <v>84.58484820917586</v>
          </cell>
        </row>
        <row r="141">
          <cell r="A141" t="str">
            <v>M20 Gt / Large Spi</v>
          </cell>
          <cell r="B141">
            <v>2</v>
          </cell>
          <cell r="C141">
            <v>97.709749614362636</v>
          </cell>
          <cell r="D141">
            <v>91.190522029926328</v>
          </cell>
        </row>
        <row r="142">
          <cell r="A142" t="str">
            <v>M20 Gti Large Spi</v>
          </cell>
          <cell r="B142">
            <v>2</v>
          </cell>
          <cell r="C142">
            <v>92.461302882522531</v>
          </cell>
          <cell r="D142">
            <v>88.139291125346816</v>
          </cell>
        </row>
        <row r="143">
          <cell r="A143" t="str">
            <v>M20 Hd1</v>
          </cell>
          <cell r="B143">
            <v>2</v>
          </cell>
          <cell r="C143">
            <v>93.694686156039936</v>
          </cell>
          <cell r="D143">
            <v>88.706739496418678</v>
          </cell>
        </row>
        <row r="144">
          <cell r="A144" t="str">
            <v>M20 Jonn Player Special</v>
          </cell>
          <cell r="B144">
            <v>2</v>
          </cell>
          <cell r="C144">
            <v>89.486237054507811</v>
          </cell>
          <cell r="D144">
            <v>85.454722313053523</v>
          </cell>
        </row>
        <row r="145">
          <cell r="A145" t="str">
            <v>M20 Rh2</v>
          </cell>
          <cell r="B145">
            <v>2</v>
          </cell>
          <cell r="C145">
            <v>96.464065133675021</v>
          </cell>
          <cell r="D145">
            <v>90.331612635632837</v>
          </cell>
        </row>
        <row r="146">
          <cell r="A146" t="str">
            <v>M20 Rh3</v>
          </cell>
          <cell r="B146">
            <v>2</v>
          </cell>
          <cell r="C146">
            <v>105.82305218341317</v>
          </cell>
          <cell r="D146">
            <v>98.776853952141707</v>
          </cell>
        </row>
        <row r="147">
          <cell r="A147" t="str">
            <v>M20 Rh4</v>
          </cell>
          <cell r="B147">
            <v>2</v>
          </cell>
          <cell r="C147">
            <v>82.728659437430949</v>
          </cell>
          <cell r="D147">
            <v>81.192320367842512</v>
          </cell>
        </row>
        <row r="148">
          <cell r="A148" t="str">
            <v>M20 Rk1</v>
          </cell>
          <cell r="B148">
            <v>2</v>
          </cell>
          <cell r="C148">
            <v>102.09159837090721</v>
          </cell>
          <cell r="D148">
            <v>94.600948731120994</v>
          </cell>
        </row>
        <row r="149">
          <cell r="A149" t="str">
            <v>Maricat</v>
          </cell>
          <cell r="B149">
            <v>1</v>
          </cell>
          <cell r="C149">
            <v>133.8167356554622</v>
          </cell>
          <cell r="D149">
            <v>126.20373691429424</v>
          </cell>
        </row>
        <row r="150">
          <cell r="A150" t="str">
            <v>M20 Rk2</v>
          </cell>
          <cell r="B150">
            <v>2</v>
          </cell>
          <cell r="C150">
            <v>96.833535308751181</v>
          </cell>
          <cell r="D150">
            <v>91.170098657715357</v>
          </cell>
        </row>
        <row r="151">
          <cell r="A151" t="str">
            <v>M20 Rk2</v>
          </cell>
          <cell r="B151">
            <v>2</v>
          </cell>
          <cell r="C151">
            <v>96.833535308751181</v>
          </cell>
          <cell r="D151">
            <v>91.170098657715357</v>
          </cell>
        </row>
        <row r="152">
          <cell r="A152" t="str">
            <v>M20 Xp1</v>
          </cell>
          <cell r="B152">
            <v>2</v>
          </cell>
          <cell r="C152">
            <v>89.294484586123588</v>
          </cell>
          <cell r="D152">
            <v>85.015462262076909</v>
          </cell>
        </row>
        <row r="153">
          <cell r="A153" t="str">
            <v>Mattia 18 S</v>
          </cell>
          <cell r="B153">
            <v>2</v>
          </cell>
          <cell r="C153">
            <v>113.58194384441575</v>
          </cell>
          <cell r="D153">
            <v>107.03199873284395</v>
          </cell>
        </row>
        <row r="154">
          <cell r="A154" t="str">
            <v>Mattia 18 (104)</v>
          </cell>
          <cell r="B154">
            <v>2</v>
          </cell>
          <cell r="C154">
            <v>107.25715125963735</v>
          </cell>
          <cell r="D154">
            <v>102.10348700038797</v>
          </cell>
        </row>
        <row r="155">
          <cell r="A155" t="str">
            <v>Mattia 18 F18</v>
          </cell>
          <cell r="B155">
            <v>2</v>
          </cell>
          <cell r="C155">
            <v>104.95771809188007</v>
          </cell>
          <cell r="D155">
            <v>100.37014141528145</v>
          </cell>
        </row>
        <row r="156">
          <cell r="A156" t="str">
            <v>Mattia 18 Raid</v>
          </cell>
          <cell r="B156">
            <v>2</v>
          </cell>
          <cell r="C156">
            <v>102.28505902058147</v>
          </cell>
          <cell r="D156">
            <v>98.207573762584971</v>
          </cell>
        </row>
        <row r="157">
          <cell r="A157" t="str">
            <v>Mattia 20</v>
          </cell>
          <cell r="B157">
            <v>2</v>
          </cell>
          <cell r="C157">
            <v>101.85393717293834</v>
          </cell>
          <cell r="D157">
            <v>96.642999133841911</v>
          </cell>
        </row>
        <row r="158">
          <cell r="A158" t="str">
            <v>Mattia Flash F18</v>
          </cell>
          <cell r="B158">
            <v>2</v>
          </cell>
          <cell r="C158">
            <v>104.95771809188007</v>
          </cell>
          <cell r="D158">
            <v>100.37014141528145</v>
          </cell>
        </row>
        <row r="159">
          <cell r="A159" t="str">
            <v>Mystere</v>
          </cell>
          <cell r="B159">
            <v>2</v>
          </cell>
          <cell r="C159">
            <v>113.61830971733765</v>
          </cell>
          <cell r="D159">
            <v>107.90544823195182</v>
          </cell>
        </row>
        <row r="160">
          <cell r="A160" t="str">
            <v>Merricat</v>
          </cell>
          <cell r="B160">
            <v>1</v>
          </cell>
          <cell r="C160">
            <v>138.40967681429126</v>
          </cell>
          <cell r="D160">
            <v>128.1413298282545</v>
          </cell>
        </row>
        <row r="161">
          <cell r="A161" t="str">
            <v>Miracle 6.0</v>
          </cell>
          <cell r="B161">
            <v>2</v>
          </cell>
          <cell r="C161">
            <v>103.63108189804623</v>
          </cell>
          <cell r="D161">
            <v>98.78645134783315</v>
          </cell>
        </row>
        <row r="162">
          <cell r="A162" t="str">
            <v>Miracle 6.0 Carbon</v>
          </cell>
          <cell r="B162">
            <v>2</v>
          </cell>
          <cell r="C162">
            <v>102.47239548836095</v>
          </cell>
          <cell r="D162">
            <v>97.224631440391107</v>
          </cell>
        </row>
        <row r="163">
          <cell r="A163" t="str">
            <v>Mystere 2000</v>
          </cell>
          <cell r="B163">
            <v>2</v>
          </cell>
          <cell r="C163">
            <v>95.784708212708765</v>
          </cell>
          <cell r="D163">
            <v>91.24738897229436</v>
          </cell>
        </row>
        <row r="164">
          <cell r="A164" t="str">
            <v>Mystere 5.0 Xl</v>
          </cell>
          <cell r="B164">
            <v>2</v>
          </cell>
          <cell r="C164">
            <v>115.50192440175486</v>
          </cell>
          <cell r="D164">
            <v>109.56230338717859</v>
          </cell>
        </row>
        <row r="165">
          <cell r="A165" t="str">
            <v>Mystere 5.0 Xxl</v>
          </cell>
          <cell r="B165">
            <v>2</v>
          </cell>
          <cell r="C165">
            <v>113.4055247325982</v>
          </cell>
          <cell r="D165">
            <v>107.84189107000404</v>
          </cell>
        </row>
        <row r="166">
          <cell r="A166" t="str">
            <v>Mystere 5.5 Fun</v>
          </cell>
          <cell r="B166">
            <v>2</v>
          </cell>
          <cell r="C166">
            <v>110.23503203998227</v>
          </cell>
          <cell r="D166">
            <v>105.44504647635343</v>
          </cell>
        </row>
        <row r="167">
          <cell r="A167" t="str">
            <v>Mystere 5.5 Master</v>
          </cell>
          <cell r="B167">
            <v>2</v>
          </cell>
          <cell r="C167">
            <v>104.38949479142066</v>
          </cell>
          <cell r="D167">
            <v>100.346958941314</v>
          </cell>
        </row>
        <row r="168">
          <cell r="A168" t="str">
            <v>Mystere 5.5 Xl Fun</v>
          </cell>
          <cell r="B168">
            <v>2</v>
          </cell>
          <cell r="C168">
            <v>109.22109165973674</v>
          </cell>
          <cell r="D168">
            <v>104.4658586561367</v>
          </cell>
        </row>
        <row r="169">
          <cell r="A169" t="str">
            <v>Mystere 5.5 Xl Master</v>
          </cell>
          <cell r="B169">
            <v>2</v>
          </cell>
          <cell r="C169">
            <v>106.62940242783702</v>
          </cell>
          <cell r="D169">
            <v>101.96074830593209</v>
          </cell>
        </row>
        <row r="170">
          <cell r="A170" t="str">
            <v>Mystere 6.0 Xl</v>
          </cell>
          <cell r="B170">
            <v>2</v>
          </cell>
          <cell r="C170">
            <v>99.951747194290235</v>
          </cell>
          <cell r="D170">
            <v>95.661651509600105</v>
          </cell>
        </row>
        <row r="171">
          <cell r="A171" t="str">
            <v>Nacra 15 curved double handed-old</v>
          </cell>
          <cell r="B171">
            <v>2</v>
          </cell>
          <cell r="C171">
            <v>111.67749181760354</v>
          </cell>
          <cell r="D171">
            <v>106.98746124186547</v>
          </cell>
        </row>
        <row r="172">
          <cell r="A172" t="str">
            <v>Nacra 15</v>
          </cell>
          <cell r="B172">
            <v>2</v>
          </cell>
          <cell r="C172">
            <v>113.29529702577952</v>
          </cell>
          <cell r="D172">
            <v>108.5141153112353</v>
          </cell>
        </row>
        <row r="173">
          <cell r="A173" t="str">
            <v>Nacra 15 ONE</v>
          </cell>
          <cell r="B173">
            <v>1</v>
          </cell>
          <cell r="C173">
            <v>114.79074064839227</v>
          </cell>
          <cell r="D173">
            <v>107.64640154491929</v>
          </cell>
        </row>
        <row r="174">
          <cell r="A174" t="str">
            <v>Nacra 15 FCS</v>
          </cell>
          <cell r="B174">
            <v>2</v>
          </cell>
          <cell r="C174">
            <v>112.08732029960302</v>
          </cell>
          <cell r="D174">
            <v>106.24884188952635</v>
          </cell>
        </row>
        <row r="175">
          <cell r="A175" t="str">
            <v>Nacra 15 FCS ONE</v>
          </cell>
          <cell r="B175">
            <v>1</v>
          </cell>
          <cell r="C175">
            <v>114.60554754103428</v>
          </cell>
          <cell r="D175">
            <v>107.62747930968847</v>
          </cell>
        </row>
        <row r="176">
          <cell r="A176" t="str">
            <v>Nacra F16 Double</v>
          </cell>
          <cell r="B176">
            <v>2</v>
          </cell>
          <cell r="C176">
            <v>108.12273213856864</v>
          </cell>
          <cell r="D176">
            <v>103.72235949726108</v>
          </cell>
        </row>
        <row r="177">
          <cell r="A177" t="str">
            <v>Nacra F16 Double  curved foils</v>
          </cell>
          <cell r="B177">
            <v>2</v>
          </cell>
          <cell r="C177">
            <v>106.10428315309424</v>
          </cell>
          <cell r="D177">
            <v>101.78605723077797</v>
          </cell>
        </row>
        <row r="178">
          <cell r="A178" t="str">
            <v>Nacra F16 one</v>
          </cell>
          <cell r="B178">
            <v>1</v>
          </cell>
          <cell r="C178">
            <v>109.77353999116747</v>
          </cell>
          <cell r="D178">
            <v>104.35835150331691</v>
          </cell>
        </row>
        <row r="179">
          <cell r="A179" t="str">
            <v>Nacra F16 one curved foils</v>
          </cell>
          <cell r="B179">
            <v>1</v>
          </cell>
          <cell r="C179">
            <v>107.72427351366909</v>
          </cell>
          <cell r="D179">
            <v>102.41017645676244</v>
          </cell>
        </row>
        <row r="180">
          <cell r="A180" t="str">
            <v>Nacra 16Vm</v>
          </cell>
          <cell r="B180">
            <v>1</v>
          </cell>
          <cell r="C180">
            <v>121.42513110404546</v>
          </cell>
          <cell r="D180">
            <v>114.26627988816517</v>
          </cell>
        </row>
        <row r="181">
          <cell r="A181" t="str">
            <v>Nacra 17  MK1</v>
          </cell>
          <cell r="B181">
            <v>2</v>
          </cell>
          <cell r="C181">
            <v>102.74803532267416</v>
          </cell>
          <cell r="D181">
            <v>98.76781573678646</v>
          </cell>
        </row>
        <row r="182">
          <cell r="A182" t="str">
            <v>Nacra 17  Olympic Class full foiler</v>
          </cell>
          <cell r="B182">
            <v>2</v>
          </cell>
          <cell r="C182">
            <v>102.34955657950971</v>
          </cell>
          <cell r="D182">
            <v>97.561381980812342</v>
          </cell>
        </row>
        <row r="183">
          <cell r="A183" t="str">
            <v>Nacra 18M2</v>
          </cell>
          <cell r="B183">
            <v>1</v>
          </cell>
          <cell r="C183">
            <v>105.057905888208</v>
          </cell>
          <cell r="D183">
            <v>101.15033340710093</v>
          </cell>
        </row>
        <row r="184">
          <cell r="A184" t="str">
            <v>Nacra 20 One Design</v>
          </cell>
          <cell r="B184">
            <v>2</v>
          </cell>
          <cell r="C184">
            <v>101.10923367175</v>
          </cell>
          <cell r="D184">
            <v>96.211776747840005</v>
          </cell>
        </row>
        <row r="185">
          <cell r="A185" t="str">
            <v>Nacra 4.5</v>
          </cell>
          <cell r="B185">
            <v>2</v>
          </cell>
          <cell r="C185">
            <v>122.0128953586908</v>
          </cell>
          <cell r="D185">
            <v>116.54104780898659</v>
          </cell>
        </row>
        <row r="186">
          <cell r="A186" t="str">
            <v>Nacra 4.5 Solo</v>
          </cell>
          <cell r="B186">
            <v>1</v>
          </cell>
          <cell r="C186">
            <v>124.70544414240715</v>
          </cell>
          <cell r="D186">
            <v>119.39160001013381</v>
          </cell>
        </row>
        <row r="187">
          <cell r="A187" t="str">
            <v>Nacra 4.5-Solo Jib</v>
          </cell>
          <cell r="B187">
            <v>1</v>
          </cell>
          <cell r="C187">
            <v>115.38852202977633</v>
          </cell>
          <cell r="D187">
            <v>112.70683006965928</v>
          </cell>
        </row>
        <row r="188">
          <cell r="A188" t="str">
            <v>Nacra 5.0 Double</v>
          </cell>
          <cell r="B188">
            <v>2</v>
          </cell>
          <cell r="C188">
            <v>118.45347728093307</v>
          </cell>
          <cell r="D188">
            <v>111.75918292694323</v>
          </cell>
        </row>
        <row r="189">
          <cell r="A189" t="str">
            <v>Nacra 5.2</v>
          </cell>
          <cell r="B189">
            <v>2</v>
          </cell>
          <cell r="C189">
            <v>109.98047075367163</v>
          </cell>
          <cell r="D189">
            <v>104.50715124882467</v>
          </cell>
        </row>
        <row r="190">
          <cell r="A190" t="str">
            <v>Nacra 5.5 Raid</v>
          </cell>
          <cell r="B190">
            <v>2</v>
          </cell>
          <cell r="C190">
            <v>105.72279092507628</v>
          </cell>
          <cell r="D190">
            <v>100.96671102040744</v>
          </cell>
        </row>
        <row r="191">
          <cell r="A191" t="str">
            <v>Nacra 5.5 Sl</v>
          </cell>
          <cell r="B191">
            <v>2</v>
          </cell>
          <cell r="C191">
            <v>105.66062589575492</v>
          </cell>
          <cell r="D191">
            <v>101.27079688825354</v>
          </cell>
        </row>
        <row r="192">
          <cell r="A192" t="str">
            <v>Nacra 5.5 Sl (1)</v>
          </cell>
          <cell r="B192">
            <v>1</v>
          </cell>
          <cell r="C192">
            <v>110.61593200062111</v>
          </cell>
          <cell r="D192">
            <v>105.75617456726361</v>
          </cell>
        </row>
        <row r="193">
          <cell r="A193" t="str">
            <v>Nacra 5.7 Race</v>
          </cell>
          <cell r="B193">
            <v>2</v>
          </cell>
          <cell r="C193">
            <v>112.70843046778775</v>
          </cell>
          <cell r="D193">
            <v>107.33917570769071</v>
          </cell>
        </row>
        <row r="194">
          <cell r="A194" t="str">
            <v>Nacra 5.8</v>
          </cell>
          <cell r="B194">
            <v>2</v>
          </cell>
          <cell r="C194">
            <v>105.91747028365967</v>
          </cell>
          <cell r="D194">
            <v>100.24405186364807</v>
          </cell>
        </row>
        <row r="195">
          <cell r="A195" t="str">
            <v>Nacra 500 Solo</v>
          </cell>
          <cell r="B195">
            <v>1</v>
          </cell>
          <cell r="C195">
            <v>118.01942144464687</v>
          </cell>
          <cell r="D195">
            <v>112.0852772796102</v>
          </cell>
        </row>
        <row r="196">
          <cell r="A196" t="str">
            <v>Nacra 500 Sport</v>
          </cell>
          <cell r="B196">
            <v>2</v>
          </cell>
          <cell r="C196">
            <v>115.25849648002776</v>
          </cell>
          <cell r="D196">
            <v>110.57629017738468</v>
          </cell>
        </row>
        <row r="197">
          <cell r="A197" t="str">
            <v>Nacra 570 Sport</v>
          </cell>
          <cell r="B197">
            <v>2</v>
          </cell>
          <cell r="C197">
            <v>108.85292133548577</v>
          </cell>
          <cell r="D197">
            <v>104.05659710424685</v>
          </cell>
        </row>
        <row r="198">
          <cell r="A198" t="str">
            <v>Nacra 580 (Provisional) Sport</v>
          </cell>
          <cell r="B198">
            <v>2</v>
          </cell>
          <cell r="C198">
            <v>105.78676214793825</v>
          </cell>
          <cell r="D198">
            <v>100.0242197848666</v>
          </cell>
        </row>
        <row r="199">
          <cell r="A199" t="str">
            <v>Nacra 6.0</v>
          </cell>
          <cell r="B199">
            <v>2</v>
          </cell>
          <cell r="C199">
            <v>103.97084124076407</v>
          </cell>
          <cell r="D199">
            <v>99.171888721203672</v>
          </cell>
        </row>
        <row r="200">
          <cell r="A200" t="str">
            <v>Nacra 6.0 Raid</v>
          </cell>
          <cell r="B200">
            <v>2</v>
          </cell>
          <cell r="C200">
            <v>105.24925458243396</v>
          </cell>
          <cell r="D200">
            <v>99.826598556472334</v>
          </cell>
        </row>
        <row r="201">
          <cell r="A201" t="str">
            <v>Nacra 6.0 SE</v>
          </cell>
          <cell r="B201">
            <v>2</v>
          </cell>
          <cell r="C201">
            <v>99.111917935714587</v>
          </cell>
          <cell r="D201">
            <v>95.365407986998335</v>
          </cell>
        </row>
        <row r="202">
          <cell r="A202" t="str">
            <v>Nacra Blast</v>
          </cell>
          <cell r="B202">
            <v>2</v>
          </cell>
          <cell r="C202">
            <v>120.537493731453</v>
          </cell>
          <cell r="D202">
            <v>115.49186627827065</v>
          </cell>
        </row>
        <row r="203">
          <cell r="A203" t="str">
            <v>Nacra Blast Jib Solo</v>
          </cell>
          <cell r="B203">
            <v>1</v>
          </cell>
          <cell r="C203">
            <v>113.96899761562008</v>
          </cell>
          <cell r="D203">
            <v>110.49771275341368</v>
          </cell>
        </row>
        <row r="204">
          <cell r="A204" t="str">
            <v>Nacra Blast Solo without jib</v>
          </cell>
          <cell r="B204">
            <v>1</v>
          </cell>
          <cell r="C204">
            <v>121.74099121668594</v>
          </cell>
          <cell r="D204">
            <v>115.68940666441567</v>
          </cell>
        </row>
        <row r="205">
          <cell r="A205" t="str">
            <v>Nacra F17 Sloop</v>
          </cell>
          <cell r="B205">
            <v>2</v>
          </cell>
          <cell r="C205">
            <v>108.83393134417406</v>
          </cell>
          <cell r="D205">
            <v>104.09024468687781</v>
          </cell>
        </row>
        <row r="206">
          <cell r="A206" t="str">
            <v>Nacra F18</v>
          </cell>
          <cell r="B206">
            <v>2</v>
          </cell>
          <cell r="C206">
            <v>104.95771809188007</v>
          </cell>
          <cell r="D206">
            <v>100.37014141528145</v>
          </cell>
        </row>
        <row r="207">
          <cell r="A207" t="str">
            <v>Nacra 18 FCS</v>
          </cell>
          <cell r="B207">
            <v>2</v>
          </cell>
          <cell r="C207">
            <v>102.52056628792776</v>
          </cell>
          <cell r="D207">
            <v>98.018819916614831</v>
          </cell>
        </row>
        <row r="208">
          <cell r="A208" t="str">
            <v>Nacra F20 Carbon</v>
          </cell>
          <cell r="B208">
            <v>2</v>
          </cell>
          <cell r="C208">
            <v>94.556510712247899</v>
          </cell>
          <cell r="D208">
            <v>90.057385442710839</v>
          </cell>
        </row>
        <row r="209">
          <cell r="A209" t="str">
            <v>Nacra F20 Carbon FCS</v>
          </cell>
          <cell r="B209">
            <v>2</v>
          </cell>
          <cell r="C209">
            <v>92.049410138984413</v>
          </cell>
          <cell r="D209">
            <v>87.639801017722348</v>
          </cell>
        </row>
        <row r="210">
          <cell r="A210" t="str">
            <v>Nacra F20 Carbon Pro</v>
          </cell>
          <cell r="B210">
            <v>2</v>
          </cell>
          <cell r="C210">
            <v>91.699039100527315</v>
          </cell>
          <cell r="D210">
            <v>87.18871921259344</v>
          </cell>
        </row>
        <row r="211">
          <cell r="A211" t="str">
            <v>Nacra Infusion F18</v>
          </cell>
          <cell r="B211">
            <v>2</v>
          </cell>
          <cell r="C211">
            <v>104.95771809188007</v>
          </cell>
          <cell r="D211">
            <v>100.37014141528145</v>
          </cell>
        </row>
        <row r="212">
          <cell r="A212" t="str">
            <v>Nacra Inter 17 Jib</v>
          </cell>
          <cell r="B212">
            <v>2</v>
          </cell>
          <cell r="C212">
            <v>112.74681079633358</v>
          </cell>
          <cell r="D212">
            <v>107.1210598872658</v>
          </cell>
        </row>
        <row r="213">
          <cell r="A213" t="str">
            <v>Nacra Inter 17 Solo Jib</v>
          </cell>
          <cell r="B213">
            <v>1</v>
          </cell>
          <cell r="C213">
            <v>107.5076959066692</v>
          </cell>
          <cell r="D213">
            <v>103.37059442944067</v>
          </cell>
        </row>
        <row r="214">
          <cell r="A214" t="str">
            <v>Nacra Inter 17R</v>
          </cell>
          <cell r="B214">
            <v>1</v>
          </cell>
          <cell r="C214">
            <v>108.59435201665575</v>
          </cell>
          <cell r="D214">
            <v>103.40438128592004</v>
          </cell>
        </row>
        <row r="215">
          <cell r="A215" t="str">
            <v>Nacra Inter 18 F18</v>
          </cell>
          <cell r="B215">
            <v>2</v>
          </cell>
          <cell r="C215">
            <v>104.95771809188007</v>
          </cell>
          <cell r="D215">
            <v>100.37014141528145</v>
          </cell>
        </row>
        <row r="216">
          <cell r="A216" t="str">
            <v>Nacra Inter 20 F20</v>
          </cell>
          <cell r="B216">
            <v>2</v>
          </cell>
          <cell r="C216">
            <v>101.17406357288759</v>
          </cell>
          <cell r="D216">
            <v>96.19816494536397</v>
          </cell>
        </row>
        <row r="217">
          <cell r="A217" t="str">
            <v>Nacra Inter17 Xl</v>
          </cell>
          <cell r="B217">
            <v>1</v>
          </cell>
          <cell r="C217">
            <v>114.1028357032101</v>
          </cell>
          <cell r="D217">
            <v>107.3505825230489</v>
          </cell>
        </row>
        <row r="218">
          <cell r="A218" t="str">
            <v>Nacra Inter17 Xl Solo</v>
          </cell>
          <cell r="B218">
            <v>1</v>
          </cell>
          <cell r="C218">
            <v>114.2904179988866</v>
          </cell>
          <cell r="D218">
            <v>107.53035893195673</v>
          </cell>
        </row>
        <row r="219">
          <cell r="A219" t="str">
            <v>New Cat F1</v>
          </cell>
          <cell r="B219">
            <v>2</v>
          </cell>
          <cell r="C219">
            <v>135.4169252982571</v>
          </cell>
          <cell r="D219">
            <v>127.16367578932018</v>
          </cell>
        </row>
        <row r="220">
          <cell r="A220" t="str">
            <v>Piranha 15</v>
          </cell>
          <cell r="B220">
            <v>1</v>
          </cell>
          <cell r="C220">
            <v>132.69497866020203</v>
          </cell>
          <cell r="D220">
            <v>125.08374714296298</v>
          </cell>
        </row>
        <row r="221">
          <cell r="A221" t="str">
            <v>Piranha 17</v>
          </cell>
          <cell r="B221">
            <v>2</v>
          </cell>
          <cell r="C221">
            <v>117.50346231323832</v>
          </cell>
          <cell r="D221">
            <v>110.66744206079294</v>
          </cell>
        </row>
        <row r="222">
          <cell r="A222" t="str">
            <v>Piranha 19</v>
          </cell>
          <cell r="B222">
            <v>2</v>
          </cell>
          <cell r="C222">
            <v>115.84225068671461</v>
          </cell>
          <cell r="D222">
            <v>108.47724291739759</v>
          </cell>
        </row>
        <row r="223">
          <cell r="A223" t="str">
            <v>Piranha 5.0</v>
          </cell>
          <cell r="B223">
            <v>2</v>
          </cell>
          <cell r="C223">
            <v>124.00191258522759</v>
          </cell>
          <cell r="D223">
            <v>116.33301108891456</v>
          </cell>
        </row>
        <row r="224">
          <cell r="A224" t="str">
            <v>New Cat F2</v>
          </cell>
          <cell r="B224">
            <v>2</v>
          </cell>
          <cell r="C224">
            <v>140.96729141207001</v>
          </cell>
          <cell r="D224">
            <v>131.36140278003015</v>
          </cell>
        </row>
        <row r="225">
          <cell r="A225" t="str">
            <v>Newcat 14</v>
          </cell>
          <cell r="B225">
            <v>2</v>
          </cell>
          <cell r="C225">
            <v>136.00839456708977</v>
          </cell>
          <cell r="D225">
            <v>131.69874557077202</v>
          </cell>
        </row>
        <row r="226">
          <cell r="A226" t="str">
            <v>Newcat 15</v>
          </cell>
          <cell r="B226">
            <v>2</v>
          </cell>
          <cell r="C226">
            <v>136.15359090599702</v>
          </cell>
          <cell r="D226">
            <v>127.18873025683224</v>
          </cell>
        </row>
        <row r="227">
          <cell r="A227" t="str">
            <v>Novacat 18</v>
          </cell>
          <cell r="B227">
            <v>2</v>
          </cell>
          <cell r="C227">
            <v>115.00498082950479</v>
          </cell>
          <cell r="D227">
            <v>109.32373852148703</v>
          </cell>
        </row>
        <row r="228">
          <cell r="A228" t="str">
            <v>Paper Tiger</v>
          </cell>
          <cell r="B228">
            <v>1</v>
          </cell>
          <cell r="C228">
            <v>125.11295874364774</v>
          </cell>
          <cell r="D228">
            <v>116.72651346200354</v>
          </cell>
        </row>
        <row r="229">
          <cell r="A229" t="str">
            <v>Pixie</v>
          </cell>
          <cell r="B229">
            <v>1</v>
          </cell>
          <cell r="C229">
            <v>128.23247598083336</v>
          </cell>
          <cell r="D229">
            <v>122.71212680287464</v>
          </cell>
        </row>
        <row r="230">
          <cell r="A230" t="str">
            <v>Predator 20</v>
          </cell>
          <cell r="B230">
            <v>2</v>
          </cell>
          <cell r="C230">
            <v>101.5967847958059</v>
          </cell>
          <cell r="D230">
            <v>94.90109972978307</v>
          </cell>
        </row>
        <row r="231">
          <cell r="A231" t="str">
            <v>Predator 20C</v>
          </cell>
          <cell r="B231">
            <v>2</v>
          </cell>
          <cell r="C231">
            <v>99.847973643598607</v>
          </cell>
          <cell r="D231">
            <v>93.342448918990172</v>
          </cell>
        </row>
        <row r="232">
          <cell r="A232" t="str">
            <v>Prindle 15</v>
          </cell>
          <cell r="B232">
            <v>1</v>
          </cell>
          <cell r="C232">
            <v>125.21603037807213</v>
          </cell>
          <cell r="D232">
            <v>119.17104510871583</v>
          </cell>
        </row>
        <row r="233">
          <cell r="A233" t="str">
            <v>Prindle 15S</v>
          </cell>
          <cell r="B233">
            <v>1</v>
          </cell>
          <cell r="C233">
            <v>118.5145495274169</v>
          </cell>
          <cell r="D233">
            <v>114.81055375752216</v>
          </cell>
        </row>
        <row r="234">
          <cell r="A234" t="str">
            <v>Prindle 16</v>
          </cell>
          <cell r="B234">
            <v>2</v>
          </cell>
          <cell r="C234">
            <v>122.12361433493984</v>
          </cell>
          <cell r="D234">
            <v>114.85856259826795</v>
          </cell>
        </row>
        <row r="235">
          <cell r="A235" t="str">
            <v>Prindle 18</v>
          </cell>
          <cell r="B235">
            <v>2</v>
          </cell>
          <cell r="C235">
            <v>114.78506566164238</v>
          </cell>
          <cell r="D235">
            <v>108.92366744344575</v>
          </cell>
        </row>
        <row r="236">
          <cell r="A236" t="str">
            <v>Prindle 18 Escape</v>
          </cell>
          <cell r="B236">
            <v>2</v>
          </cell>
          <cell r="C236">
            <v>116.24877568311787</v>
          </cell>
          <cell r="D236">
            <v>109.99514233127086</v>
          </cell>
        </row>
        <row r="237">
          <cell r="A237" t="str">
            <v>Prindle 18-2</v>
          </cell>
          <cell r="B237">
            <v>2</v>
          </cell>
          <cell r="C237">
            <v>108.1541360109658</v>
          </cell>
          <cell r="D237">
            <v>103.93460666318573</v>
          </cell>
        </row>
        <row r="238">
          <cell r="A238" t="str">
            <v>Prindle 18-2 Torrig</v>
          </cell>
          <cell r="B238">
            <v>2</v>
          </cell>
          <cell r="C238">
            <v>105.8539787218365</v>
          </cell>
          <cell r="D238">
            <v>101.38108259531923</v>
          </cell>
        </row>
        <row r="239">
          <cell r="A239" t="str">
            <v>Prindle 19</v>
          </cell>
          <cell r="B239">
            <v>2</v>
          </cell>
          <cell r="C239">
            <v>104.88553025087498</v>
          </cell>
          <cell r="D239">
            <v>99.355243762846996</v>
          </cell>
        </row>
        <row r="240">
          <cell r="A240" t="str">
            <v>Prindle 19 Pacer</v>
          </cell>
          <cell r="B240">
            <v>2</v>
          </cell>
          <cell r="C240">
            <v>104.80117812526831</v>
          </cell>
          <cell r="D240">
            <v>99.319403705079921</v>
          </cell>
        </row>
        <row r="241">
          <cell r="A241" t="str">
            <v>Roberts 25</v>
          </cell>
          <cell r="B241">
            <v>3</v>
          </cell>
          <cell r="C241">
            <v>94.906410798990848</v>
          </cell>
          <cell r="D241">
            <v>91.539560673212506</v>
          </cell>
        </row>
        <row r="242">
          <cell r="A242" t="str">
            <v>Roberts 27</v>
          </cell>
          <cell r="B242">
            <v>3</v>
          </cell>
          <cell r="C242">
            <v>89.48860983443079</v>
          </cell>
          <cell r="D242">
            <v>86.053861691612042</v>
          </cell>
        </row>
        <row r="243">
          <cell r="A243" t="str">
            <v xml:space="preserve">RS Cat 14 XL </v>
          </cell>
          <cell r="B243">
            <v>2</v>
          </cell>
          <cell r="C243">
            <v>142.22861525074066</v>
          </cell>
          <cell r="D243">
            <v>137.22696505302838</v>
          </cell>
        </row>
        <row r="244">
          <cell r="A244" t="str">
            <v>S9 Stunt Solo</v>
          </cell>
          <cell r="B244">
            <v>1</v>
          </cell>
          <cell r="C244">
            <v>108.57979866382691</v>
          </cell>
          <cell r="D244">
            <v>104.47534794778549</v>
          </cell>
        </row>
        <row r="245">
          <cell r="A245" t="str">
            <v>Sapajou</v>
          </cell>
          <cell r="B245">
            <v>2</v>
          </cell>
          <cell r="C245">
            <v>111.21543591010158</v>
          </cell>
          <cell r="D245">
            <v>105.72139699770166</v>
          </cell>
        </row>
        <row r="246">
          <cell r="A246" t="str">
            <v>Seaspray 15</v>
          </cell>
          <cell r="B246">
            <v>1</v>
          </cell>
          <cell r="C246">
            <v>120.4181597659101</v>
          </cell>
          <cell r="D246">
            <v>115.98492331000197</v>
          </cell>
        </row>
        <row r="247">
          <cell r="A247" t="str">
            <v>Shadow</v>
          </cell>
          <cell r="B247">
            <v>1</v>
          </cell>
          <cell r="C247">
            <v>111.984555296937</v>
          </cell>
          <cell r="D247">
            <v>109.03143602513738</v>
          </cell>
        </row>
        <row r="248">
          <cell r="A248" t="str">
            <v>Shark</v>
          </cell>
          <cell r="B248">
            <v>2</v>
          </cell>
          <cell r="C248">
            <v>97.052661435625254</v>
          </cell>
          <cell r="D248">
            <v>93.048340430581462</v>
          </cell>
        </row>
        <row r="249">
          <cell r="A249" t="str">
            <v>Shearwater</v>
          </cell>
          <cell r="B249">
            <v>2</v>
          </cell>
          <cell r="C249">
            <v>119.62464203022536</v>
          </cell>
          <cell r="D249">
            <v>112.35901166299969</v>
          </cell>
        </row>
        <row r="250">
          <cell r="A250" t="str">
            <v>Shockwave F18</v>
          </cell>
          <cell r="B250">
            <v>2</v>
          </cell>
          <cell r="C250">
            <v>104.95771809188007</v>
          </cell>
          <cell r="D250">
            <v>100.37014141528145</v>
          </cell>
        </row>
        <row r="251">
          <cell r="A251" t="str">
            <v>Sl 16</v>
          </cell>
          <cell r="B251">
            <v>2</v>
          </cell>
          <cell r="C251">
            <v>114.16824069034055</v>
          </cell>
          <cell r="D251">
            <v>109.25178731613782</v>
          </cell>
        </row>
        <row r="252">
          <cell r="A252" t="str">
            <v>Speedycat (1)</v>
          </cell>
          <cell r="B252">
            <v>1</v>
          </cell>
          <cell r="C252">
            <v>116.987616880578</v>
          </cell>
          <cell r="D252">
            <v>111.81827654143193</v>
          </cell>
        </row>
        <row r="253">
          <cell r="A253" t="str">
            <v>Speedycat (2)</v>
          </cell>
          <cell r="B253">
            <v>2</v>
          </cell>
          <cell r="C253">
            <v>130.07647824844301</v>
          </cell>
          <cell r="D253">
            <v>120.7854954047399</v>
          </cell>
        </row>
        <row r="254">
          <cell r="A254" t="str">
            <v>Spitfire</v>
          </cell>
          <cell r="B254">
            <v>2</v>
          </cell>
          <cell r="C254">
            <v>107.7520364517282</v>
          </cell>
          <cell r="D254">
            <v>103.30832264750589</v>
          </cell>
        </row>
        <row r="255">
          <cell r="A255" t="str">
            <v>Spitfire Solo - without jib</v>
          </cell>
          <cell r="B255">
            <v>1</v>
          </cell>
          <cell r="C255">
            <v>111.96823706009488</v>
          </cell>
          <cell r="D255">
            <v>106.20413506482829</v>
          </cell>
        </row>
        <row r="256">
          <cell r="A256" t="str">
            <v>Spitfire S</v>
          </cell>
          <cell r="B256">
            <v>2</v>
          </cell>
          <cell r="C256">
            <v>106.53297043098431</v>
          </cell>
          <cell r="D256">
            <v>102.28008447763678</v>
          </cell>
        </row>
        <row r="257">
          <cell r="A257" t="str">
            <v>Storm</v>
          </cell>
          <cell r="B257">
            <v>2</v>
          </cell>
          <cell r="C257">
            <v>99.856799853660405</v>
          </cell>
          <cell r="D257">
            <v>95.299281365634286</v>
          </cell>
        </row>
        <row r="258">
          <cell r="A258" t="str">
            <v>Stealth F16 Double</v>
          </cell>
          <cell r="B258">
            <v>2</v>
          </cell>
          <cell r="C258">
            <v>107.47590747441842</v>
          </cell>
          <cell r="D258">
            <v>103.11804998221032</v>
          </cell>
        </row>
        <row r="259">
          <cell r="A259" t="str">
            <v>Stealth F16 Solo</v>
          </cell>
          <cell r="B259">
            <v>1</v>
          </cell>
          <cell r="C259">
            <v>108.87863805667132</v>
          </cell>
          <cell r="D259">
            <v>103.53979364673148</v>
          </cell>
        </row>
        <row r="260">
          <cell r="A260" t="str">
            <v>Stealth F18Ht</v>
          </cell>
          <cell r="B260">
            <v>2</v>
          </cell>
          <cell r="C260">
            <v>102.22149970840225</v>
          </cell>
          <cell r="D260">
            <v>97.332274994404258</v>
          </cell>
        </row>
        <row r="261">
          <cell r="A261" t="str">
            <v>Stingray 5.5</v>
          </cell>
          <cell r="B261">
            <v>2</v>
          </cell>
          <cell r="C261">
            <v>102.71554078843036</v>
          </cell>
          <cell r="D261">
            <v>98.455599948629427</v>
          </cell>
        </row>
        <row r="262">
          <cell r="A262" t="str">
            <v>Supercat 15</v>
          </cell>
          <cell r="B262">
            <v>1</v>
          </cell>
          <cell r="C262">
            <v>117.50374104836021</v>
          </cell>
          <cell r="D262">
            <v>113.43800060602788</v>
          </cell>
        </row>
        <row r="263">
          <cell r="A263" t="str">
            <v>Supercat 17</v>
          </cell>
          <cell r="B263">
            <v>2</v>
          </cell>
          <cell r="C263">
            <v>112.20483443156729</v>
          </cell>
          <cell r="D263">
            <v>107.3947738376317</v>
          </cell>
        </row>
        <row r="264">
          <cell r="A264" t="str">
            <v>Supercat 18 Sp.</v>
          </cell>
          <cell r="B264">
            <v>1</v>
          </cell>
          <cell r="C264">
            <v>108.34568660178178</v>
          </cell>
          <cell r="D264">
            <v>104.36325874832964</v>
          </cell>
        </row>
        <row r="265">
          <cell r="A265" t="str">
            <v>Supercat 19</v>
          </cell>
          <cell r="B265">
            <v>2</v>
          </cell>
          <cell r="C265">
            <v>100.98747107983738</v>
          </cell>
          <cell r="D265">
            <v>97.221236002877646</v>
          </cell>
        </row>
        <row r="266">
          <cell r="A266" t="str">
            <v>Supercat 20 Texel</v>
          </cell>
          <cell r="B266">
            <v>2</v>
          </cell>
          <cell r="C266">
            <v>96.557197603976462</v>
          </cell>
          <cell r="D266">
            <v>92.398085466835781</v>
          </cell>
        </row>
        <row r="267">
          <cell r="A267" t="str">
            <v>Supernova</v>
          </cell>
          <cell r="B267">
            <v>2</v>
          </cell>
          <cell r="C267">
            <v>131.67436737965298</v>
          </cell>
          <cell r="D267">
            <v>122.49562869755017</v>
          </cell>
        </row>
        <row r="268">
          <cell r="A268" t="str">
            <v>Swift</v>
          </cell>
          <cell r="B268">
            <v>2</v>
          </cell>
          <cell r="C268">
            <v>130.32876754804053</v>
          </cell>
          <cell r="D268">
            <v>122.39010715350594</v>
          </cell>
        </row>
        <row r="269">
          <cell r="A269" t="str">
            <v>Taipan 5.7</v>
          </cell>
          <cell r="B269">
            <v>2</v>
          </cell>
          <cell r="C269">
            <v>108.72515886717628</v>
          </cell>
          <cell r="D269">
            <v>102.22515605362871</v>
          </cell>
        </row>
        <row r="270">
          <cell r="A270" t="str">
            <v>Thundercat 17</v>
          </cell>
          <cell r="B270">
            <v>2</v>
          </cell>
          <cell r="C270">
            <v>110.3920570760412</v>
          </cell>
          <cell r="D270">
            <v>105.30000268427233</v>
          </cell>
        </row>
        <row r="271">
          <cell r="A271" t="str">
            <v>Thundercat 18</v>
          </cell>
          <cell r="B271">
            <v>2</v>
          </cell>
          <cell r="C271">
            <v>108.19314789314026</v>
          </cell>
          <cell r="D271">
            <v>103.05384294419626</v>
          </cell>
        </row>
        <row r="272">
          <cell r="A272" t="str">
            <v>Topcat 4.5 Solo</v>
          </cell>
          <cell r="B272">
            <v>1</v>
          </cell>
          <cell r="C272">
            <v>121.4148792961615</v>
          </cell>
          <cell r="D272">
            <v>116.92321681973934</v>
          </cell>
        </row>
        <row r="273">
          <cell r="A273" t="str">
            <v>Topcat F1</v>
          </cell>
          <cell r="B273">
            <v>1</v>
          </cell>
          <cell r="C273">
            <v>125.89667427126072</v>
          </cell>
          <cell r="D273">
            <v>119.81564990392688</v>
          </cell>
        </row>
        <row r="274">
          <cell r="A274" t="str">
            <v>Topcat F2</v>
          </cell>
          <cell r="B274">
            <v>2</v>
          </cell>
          <cell r="C274">
            <v>126.36082304273646</v>
          </cell>
          <cell r="D274">
            <v>119.51849272809994</v>
          </cell>
        </row>
        <row r="275">
          <cell r="A275" t="str">
            <v>Topcat K1 Classic</v>
          </cell>
          <cell r="B275">
            <v>2</v>
          </cell>
          <cell r="C275">
            <v>114.13754683730548</v>
          </cell>
          <cell r="D275">
            <v>108.64877837376963</v>
          </cell>
        </row>
        <row r="276">
          <cell r="A276" t="str">
            <v>Topcat K1 Streamcut</v>
          </cell>
          <cell r="B276">
            <v>2</v>
          </cell>
          <cell r="C276">
            <v>108.89963721925595</v>
          </cell>
          <cell r="D276">
            <v>104.88672452348122</v>
          </cell>
        </row>
        <row r="277">
          <cell r="A277" t="str">
            <v>Topcat K2 Small Jib</v>
          </cell>
          <cell r="B277">
            <v>2</v>
          </cell>
          <cell r="C277">
            <v>115.28549823338668</v>
          </cell>
          <cell r="D277">
            <v>109.32664740082659</v>
          </cell>
        </row>
        <row r="278">
          <cell r="A278" t="str">
            <v>Topcat K2 Solo</v>
          </cell>
          <cell r="B278">
            <v>1</v>
          </cell>
          <cell r="C278">
            <v>116.76660368991229</v>
          </cell>
          <cell r="D278">
            <v>111.57448662394299</v>
          </cell>
        </row>
        <row r="279">
          <cell r="A279" t="str">
            <v>Topcat K2X Classic</v>
          </cell>
          <cell r="B279">
            <v>2</v>
          </cell>
          <cell r="C279">
            <v>119.3006489079292</v>
          </cell>
          <cell r="D279">
            <v>112.65013777146304</v>
          </cell>
        </row>
        <row r="280">
          <cell r="A280" t="str">
            <v>Topcat K2X Streamcut</v>
          </cell>
          <cell r="B280">
            <v>2</v>
          </cell>
          <cell r="C280">
            <v>113.20678251023276</v>
          </cell>
          <cell r="D280">
            <v>107.86089515820493</v>
          </cell>
        </row>
        <row r="281">
          <cell r="A281" t="str">
            <v>Topcat K2X Regatta - Gennaker</v>
          </cell>
          <cell r="B281">
            <v>2</v>
          </cell>
          <cell r="C281">
            <v>113.28394296247174</v>
          </cell>
          <cell r="D281">
            <v>107.74415194550916</v>
          </cell>
        </row>
        <row r="282">
          <cell r="A282" t="str">
            <v>Topcat K3</v>
          </cell>
          <cell r="B282">
            <v>2</v>
          </cell>
          <cell r="C282">
            <v>118.80176134920441</v>
          </cell>
          <cell r="D282">
            <v>112.08988646212237</v>
          </cell>
        </row>
        <row r="283">
          <cell r="A283" t="str">
            <v>Topcat K3 Solo</v>
          </cell>
          <cell r="B283">
            <v>1</v>
          </cell>
          <cell r="C283">
            <v>120.17638089666525</v>
          </cell>
          <cell r="D283">
            <v>114.22458308589556</v>
          </cell>
        </row>
        <row r="284">
          <cell r="A284" t="str">
            <v>Topcat K3 Solo Jib</v>
          </cell>
          <cell r="B284">
            <v>1</v>
          </cell>
          <cell r="C284">
            <v>113.53475926893469</v>
          </cell>
          <cell r="D284">
            <v>109.91403314707313</v>
          </cell>
        </row>
        <row r="285">
          <cell r="A285" t="str">
            <v>Topcat K3X Solo Streamcut</v>
          </cell>
          <cell r="B285">
            <v>1</v>
          </cell>
          <cell r="C285">
            <v>112.31456914459545</v>
          </cell>
          <cell r="D285">
            <v>108.34243913240772</v>
          </cell>
        </row>
        <row r="286">
          <cell r="A286" t="str">
            <v>Topcat K3X Solo Streamcut -Jib</v>
          </cell>
          <cell r="B286">
            <v>1</v>
          </cell>
          <cell r="C286">
            <v>110.43235678741725</v>
          </cell>
          <cell r="D286">
            <v>106.52201401759486</v>
          </cell>
        </row>
        <row r="287">
          <cell r="A287" t="str">
            <v>Topcat K3X Solo Regatta - Gennaker - DS</v>
          </cell>
          <cell r="B287">
            <v>1</v>
          </cell>
          <cell r="C287">
            <v>117.2112398587133</v>
          </cell>
          <cell r="D287">
            <v>109.84667721363951</v>
          </cell>
        </row>
        <row r="288">
          <cell r="A288" t="str">
            <v>Topcat K4X Solo</v>
          </cell>
          <cell r="B288">
            <v>1</v>
          </cell>
          <cell r="C288">
            <v>128.40750819316918</v>
          </cell>
          <cell r="D288">
            <v>121.176282877834</v>
          </cell>
        </row>
        <row r="289">
          <cell r="A289" t="str">
            <v>Topcat K4X Streamcut</v>
          </cell>
          <cell r="B289">
            <v>2</v>
          </cell>
          <cell r="C289">
            <v>120.0062093475017</v>
          </cell>
          <cell r="D289">
            <v>114.10488647952049</v>
          </cell>
        </row>
        <row r="290">
          <cell r="A290" t="str">
            <v>Topcat Spifire 2.3</v>
          </cell>
          <cell r="B290">
            <v>2</v>
          </cell>
          <cell r="C290">
            <v>115.08888056204617</v>
          </cell>
          <cell r="D290">
            <v>109.42969857391688</v>
          </cell>
        </row>
        <row r="291">
          <cell r="A291" t="str">
            <v>Topcat Spitfire 2.5</v>
          </cell>
          <cell r="B291">
            <v>2</v>
          </cell>
          <cell r="C291">
            <v>112.92656125467502</v>
          </cell>
          <cell r="D291">
            <v>108.01059813897731</v>
          </cell>
        </row>
        <row r="292">
          <cell r="A292" t="str">
            <v>Tornado</v>
          </cell>
          <cell r="B292">
            <v>2</v>
          </cell>
          <cell r="C292">
            <v>98.569541187564184</v>
          </cell>
          <cell r="D292">
            <v>93.631024715252281</v>
          </cell>
        </row>
        <row r="293">
          <cell r="A293" t="str">
            <v>Tornado 420 (Minicorn)</v>
          </cell>
          <cell r="B293">
            <v>1</v>
          </cell>
          <cell r="C293">
            <v>123.96167360900756</v>
          </cell>
          <cell r="D293">
            <v>117.51060389642728</v>
          </cell>
        </row>
        <row r="294">
          <cell r="A294" t="str">
            <v>Tornado 540</v>
          </cell>
          <cell r="B294">
            <v>2</v>
          </cell>
          <cell r="C294">
            <v>109.47695674793167</v>
          </cell>
          <cell r="D294">
            <v>103.90813809895116</v>
          </cell>
        </row>
        <row r="295">
          <cell r="A295" t="str">
            <v>Tornado Classic</v>
          </cell>
          <cell r="B295">
            <v>2</v>
          </cell>
          <cell r="C295">
            <v>101.46771978000513</v>
          </cell>
          <cell r="D295">
            <v>96.083246097666049</v>
          </cell>
        </row>
        <row r="296">
          <cell r="A296" t="str">
            <v>Trac 16</v>
          </cell>
          <cell r="B296">
            <v>2</v>
          </cell>
          <cell r="C296">
            <v>116.23074545230072</v>
          </cell>
          <cell r="D296">
            <v>109.81441627970446</v>
          </cell>
        </row>
        <row r="297">
          <cell r="A297" t="str">
            <v>Trac 18</v>
          </cell>
          <cell r="B297">
            <v>2</v>
          </cell>
          <cell r="C297">
            <v>106.74791154519157</v>
          </cell>
          <cell r="D297">
            <v>102.26597594557508</v>
          </cell>
        </row>
        <row r="298">
          <cell r="A298" t="str">
            <v>Trigger Club</v>
          </cell>
          <cell r="B298">
            <v>2</v>
          </cell>
          <cell r="C298">
            <v>125.88835329542631</v>
          </cell>
          <cell r="D298">
            <v>117.65800230921846</v>
          </cell>
        </row>
        <row r="299">
          <cell r="A299" t="str">
            <v>Trigger Radical</v>
          </cell>
          <cell r="B299">
            <v>2</v>
          </cell>
          <cell r="C299">
            <v>110.48314726976125</v>
          </cell>
          <cell r="D299">
            <v>106.17683235350658</v>
          </cell>
        </row>
        <row r="300">
          <cell r="A300" t="str">
            <v>Trigger Sport</v>
          </cell>
          <cell r="B300">
            <v>2</v>
          </cell>
          <cell r="C300">
            <v>117.05727967476477</v>
          </cell>
          <cell r="D300">
            <v>110.92154070698587</v>
          </cell>
        </row>
        <row r="301">
          <cell r="A301" t="str">
            <v>Tropic GTI</v>
          </cell>
          <cell r="B301">
            <v>2</v>
          </cell>
          <cell r="C301">
            <v>110.60487664284113</v>
          </cell>
          <cell r="D301">
            <v>104.4538167097202</v>
          </cell>
        </row>
        <row r="302">
          <cell r="A302" t="str">
            <v>Ventilo 18 HT</v>
          </cell>
          <cell r="B302">
            <v>2</v>
          </cell>
          <cell r="C302">
            <v>102.22149970840225</v>
          </cell>
          <cell r="D302">
            <v>97.332274994404258</v>
          </cell>
        </row>
        <row r="303">
          <cell r="A303" t="str">
            <v>Ventilo 20 Sloop</v>
          </cell>
          <cell r="B303">
            <v>2</v>
          </cell>
          <cell r="C303">
            <v>102.30599597937959</v>
          </cell>
          <cell r="D303">
            <v>96.814737133145314</v>
          </cell>
        </row>
        <row r="304">
          <cell r="A304" t="str">
            <v>Ventilo F18 Ht</v>
          </cell>
          <cell r="B304">
            <v>2</v>
          </cell>
          <cell r="C304">
            <v>102.22149970840225</v>
          </cell>
          <cell r="D304">
            <v>97.332274994404258</v>
          </cell>
        </row>
        <row r="305">
          <cell r="A305" t="str">
            <v>Ventilo F18 Ht Sloop</v>
          </cell>
          <cell r="B305">
            <v>2</v>
          </cell>
          <cell r="C305">
            <v>104.67975206412255</v>
          </cell>
          <cell r="D305">
            <v>100.29745510571034</v>
          </cell>
        </row>
        <row r="306">
          <cell r="A306" t="str">
            <v>Ventilo M3 Cat boat - spi</v>
          </cell>
          <cell r="B306">
            <v>2</v>
          </cell>
          <cell r="C306">
            <v>95.126937994369342</v>
          </cell>
          <cell r="D306">
            <v>91.121954852770529</v>
          </cell>
        </row>
        <row r="307">
          <cell r="A307" t="str">
            <v>Warp 18</v>
          </cell>
          <cell r="B307">
            <v>2</v>
          </cell>
          <cell r="C307">
            <v>112.17737392841269</v>
          </cell>
          <cell r="D307">
            <v>106.55997883878311</v>
          </cell>
        </row>
        <row r="308">
          <cell r="A308" t="str">
            <v>Whisper</v>
          </cell>
          <cell r="B308">
            <v>2</v>
          </cell>
          <cell r="C308">
            <v>97.177251558869216</v>
          </cell>
          <cell r="D308">
            <v>92.729072935725952</v>
          </cell>
        </row>
        <row r="309">
          <cell r="A309" t="str">
            <v>Zztest</v>
          </cell>
          <cell r="B309">
            <v>1</v>
          </cell>
          <cell r="C309"/>
          <cell r="D309"/>
        </row>
        <row r="310">
          <cell r="A310" t="str">
            <v>White Formula 20</v>
          </cell>
          <cell r="B310">
            <v>2</v>
          </cell>
          <cell r="C310">
            <v>100.13148017668134</v>
          </cell>
          <cell r="D310">
            <v>95.137386277285188</v>
          </cell>
        </row>
        <row r="311">
          <cell r="A311" t="str">
            <v>Wildcat/Lynx</v>
          </cell>
          <cell r="B311">
            <v>2</v>
          </cell>
          <cell r="C311">
            <v>108.70100617000347</v>
          </cell>
          <cell r="D311">
            <v>103.52868265659659</v>
          </cell>
        </row>
        <row r="312">
          <cell r="A312" t="str">
            <v>Windrush 14 Ss</v>
          </cell>
          <cell r="B312">
            <v>1</v>
          </cell>
          <cell r="C312">
            <v>119.74529103537066</v>
          </cell>
          <cell r="D312">
            <v>115.96388965528715</v>
          </cell>
        </row>
        <row r="313">
          <cell r="A313" t="str">
            <v>Zeekat</v>
          </cell>
          <cell r="B313">
            <v>2</v>
          </cell>
          <cell r="C313">
            <v>124.08469529860162</v>
          </cell>
          <cell r="D313">
            <v>117.6321238067617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S311"/>
  <sheetViews>
    <sheetView showZeros="0" tabSelected="1" defaultGridColor="0" colorId="55" zoomScaleNormal="100" workbookViewId="0">
      <pane xSplit="8" ySplit="5" topLeftCell="I6" activePane="bottomRight" state="frozen"/>
      <selection pane="topRight" activeCell="I1" sqref="I1"/>
      <selection pane="bottomLeft" activeCell="A6" sqref="A6"/>
      <selection pane="bottomRight" activeCell="I6" sqref="I6"/>
    </sheetView>
  </sheetViews>
  <sheetFormatPr defaultRowHeight="12.75" x14ac:dyDescent="0.2"/>
  <cols>
    <col min="1" max="1" width="38.28515625" style="1"/>
    <col min="2" max="2" width="5" style="2"/>
    <col min="3" max="3" width="10.28515625" style="94"/>
    <col min="4" max="4" width="10.28515625" style="94" customWidth="1"/>
    <col min="5" max="5" width="9.140625" style="94" hidden="1" customWidth="1"/>
    <col min="6" max="6" width="10.7109375" style="94" hidden="1" customWidth="1"/>
    <col min="7" max="7" width="7.5703125" style="94" hidden="1" customWidth="1"/>
    <col min="8" max="8" width="10.140625" style="94" hidden="1" customWidth="1"/>
    <col min="9" max="9" width="8.140625" style="2" bestFit="1" customWidth="1"/>
    <col min="10" max="10" width="8.140625" style="116" customWidth="1"/>
    <col min="11" max="11" width="8.140625" style="2" customWidth="1"/>
    <col min="12" max="12" width="7" style="9"/>
    <col min="13" max="14" width="8.42578125" style="6"/>
    <col min="15" max="15" width="7.5703125" style="7" customWidth="1"/>
    <col min="16" max="19" width="9.140625" style="7" customWidth="1"/>
    <col min="20" max="20" width="9.140625" style="4" customWidth="1"/>
    <col min="21" max="21" width="7.42578125" style="4" customWidth="1"/>
    <col min="22" max="24" width="9.140625" style="7" customWidth="1"/>
    <col min="25" max="25" width="9.140625" style="8" customWidth="1"/>
    <col min="26" max="26" width="9.140625" style="7" customWidth="1"/>
    <col min="27" max="27" width="6.85546875" style="4" customWidth="1"/>
    <col min="28" max="28" width="8" style="7" customWidth="1"/>
    <col min="29" max="29" width="9.140625" style="7" customWidth="1"/>
    <col min="30" max="31" width="9.140625" style="9" customWidth="1"/>
    <col min="32" max="32" width="9.140625" style="7" customWidth="1"/>
    <col min="33" max="33" width="9" style="7" customWidth="1"/>
    <col min="34" max="34" width="9.7109375" style="113" customWidth="1"/>
    <col min="35" max="35" width="10.42578125" style="10" customWidth="1"/>
    <col min="36" max="36" width="7.140625" style="10" customWidth="1"/>
    <col min="37" max="37" width="9.85546875" style="7"/>
    <col min="38" max="38" width="5.7109375" style="7"/>
    <col min="39" max="39" width="7" style="4"/>
    <col min="40" max="40" width="9.5703125" style="7"/>
    <col min="41" max="41" width="5.7109375" style="7"/>
    <col min="42" max="42" width="9.5703125" style="4"/>
    <col min="43" max="43" width="8.42578125" style="7"/>
    <col min="44" max="44" width="7.5703125" style="7"/>
    <col min="45" max="45" width="10.42578125" style="4"/>
    <col min="46" max="46" width="10.42578125" style="7"/>
    <col min="47" max="47" width="8.85546875" style="7"/>
    <col min="48" max="48" width="7.5703125" style="4"/>
    <col min="49" max="49" width="8.28515625" style="7"/>
    <col min="50" max="50" width="9.28515625" style="7"/>
    <col min="51" max="51" width="7.7109375" style="4"/>
    <col min="52" max="52" width="8.85546875" style="7"/>
    <col min="53" max="53" width="8.140625" style="7"/>
    <col min="54" max="54" width="10.7109375" style="4"/>
    <col min="55" max="55" width="8.140625" style="7"/>
    <col min="56" max="56" width="8.28515625" style="7"/>
    <col min="57" max="57" width="11.28515625" style="4"/>
    <col min="58" max="58" width="9.7109375" style="7"/>
    <col min="59" max="59" width="8.85546875" style="7"/>
    <col min="60" max="60" width="8.7109375" style="4"/>
    <col min="61" max="61" width="9.85546875" style="7"/>
    <col min="62" max="62" width="9.140625" style="7"/>
    <col min="63" max="63" width="10.7109375" style="4"/>
    <col min="64" max="64" width="9.5703125" style="7"/>
    <col min="65" max="65" width="8.5703125" style="7"/>
    <col min="66" max="66" width="8.7109375" style="4"/>
    <col min="67" max="67" width="9.7109375" style="7"/>
    <col min="68" max="68" width="7.7109375" style="7"/>
    <col min="69" max="69" width="7.7109375" style="4"/>
    <col min="70" max="70" width="8.42578125" style="7"/>
    <col min="71" max="71" width="9.5703125" style="4"/>
    <col min="72" max="72" width="11.140625" style="4"/>
    <col min="73" max="73" width="8.42578125" style="4"/>
    <col min="74" max="74" width="7.85546875" style="4"/>
    <col min="75" max="75" width="8.7109375" style="4"/>
    <col min="76" max="76" width="9.140625" style="7"/>
    <col min="77" max="77" width="9.28515625" style="4"/>
    <col min="78" max="78" width="9.140625" style="7"/>
    <col min="79" max="79" width="10.5703125" style="7"/>
    <col min="80" max="80" width="10.28515625" style="4"/>
    <col min="81" max="81" width="9.28515625" style="7"/>
    <col min="82" max="82" width="10.5703125" style="7"/>
    <col min="83" max="83" width="11.28515625" style="4"/>
    <col min="84" max="86" width="9.140625" style="4"/>
    <col min="87" max="87" width="10.140625" style="4"/>
    <col min="88" max="88" width="8.7109375" style="7"/>
    <col min="89" max="89" width="9" style="4"/>
    <col min="90" max="90" width="10.5703125" style="11"/>
    <col min="91" max="91" width="22.140625" style="11"/>
    <col min="92" max="92" width="12.28515625" style="12"/>
    <col min="93" max="93" width="19.85546875" style="11"/>
    <col min="94" max="94" width="14.28515625" style="11"/>
    <col min="95" max="95" width="12" style="11"/>
    <col min="96" max="97" width="7.7109375" style="11"/>
    <col min="98" max="98" width="9.7109375" style="7"/>
    <col min="99" max="99" width="8.5703125" style="7"/>
    <col min="100" max="100" width="8.28515625" style="7"/>
    <col min="101" max="101" width="8.5703125" style="7"/>
    <col min="102" max="102" width="9" style="7"/>
    <col min="103" max="103" width="8.42578125" style="4"/>
    <col min="104" max="104" width="9.7109375" style="13"/>
    <col min="105" max="105" width="7.85546875" style="13"/>
    <col min="106" max="107" width="8.140625" style="13"/>
    <col min="108" max="108" width="15.140625" style="102" customWidth="1"/>
    <col min="109" max="109" width="8.28515625" style="4"/>
    <col min="110" max="113" width="9.28515625" style="11"/>
    <col min="114" max="114" width="9.140625" style="106"/>
    <col min="115" max="115" width="31.85546875" style="14"/>
    <col min="116" max="116" width="9.28515625"/>
    <col min="117" max="117" width="9.28515625" style="9"/>
    <col min="118" max="118" width="13.42578125" style="9"/>
    <col min="119" max="119" width="9.28515625" style="5"/>
    <col min="120" max="120" width="14" style="7"/>
    <col min="121" max="121" width="13.85546875" style="3"/>
    <col min="122" max="122" width="9.28515625" style="107"/>
    <col min="123" max="123" width="9.28515625"/>
    <col min="124" max="124" width="10.85546875"/>
    <col min="125" max="1033" width="9.28515625"/>
  </cols>
  <sheetData>
    <row r="1" spans="1:122" ht="18.95" customHeight="1" x14ac:dyDescent="0.2">
      <c r="A1" s="15" t="s">
        <v>0</v>
      </c>
      <c r="B1" s="16"/>
      <c r="C1" s="91"/>
      <c r="D1" s="92"/>
      <c r="E1" s="91"/>
      <c r="F1" s="92"/>
      <c r="G1" s="92"/>
      <c r="H1" s="92"/>
      <c r="I1" s="18"/>
      <c r="J1" s="23"/>
      <c r="K1" s="18"/>
      <c r="L1" s="43"/>
      <c r="M1" s="20"/>
      <c r="N1" s="20"/>
      <c r="O1" s="87"/>
      <c r="P1"/>
      <c r="Q1" s="22"/>
      <c r="R1" s="22"/>
      <c r="S1" s="18"/>
      <c r="T1" s="23"/>
      <c r="U1" s="23"/>
      <c r="V1" s="24"/>
      <c r="W1" s="24"/>
      <c r="X1" s="22"/>
      <c r="Y1" s="25"/>
      <c r="Z1" s="26"/>
      <c r="AA1"/>
      <c r="AB1" s="26"/>
      <c r="AC1" s="22"/>
      <c r="AD1" s="20"/>
      <c r="AE1" s="20"/>
      <c r="AF1" s="27"/>
      <c r="AG1" s="27"/>
      <c r="AH1" s="110"/>
      <c r="AI1" s="117" t="s">
        <v>1</v>
      </c>
      <c r="AJ1" s="117"/>
      <c r="AK1"/>
      <c r="AL1"/>
      <c r="AM1" s="18" t="s">
        <v>2</v>
      </c>
      <c r="AN1"/>
      <c r="AO1"/>
      <c r="AP1" s="23"/>
      <c r="AQ1"/>
      <c r="AR1"/>
      <c r="AS1" s="23"/>
      <c r="AT1"/>
      <c r="AU1"/>
      <c r="AV1" s="23"/>
      <c r="AW1"/>
      <c r="AX1"/>
      <c r="AY1" s="23"/>
      <c r="AZ1"/>
      <c r="BA1"/>
      <c r="BB1" s="23"/>
      <c r="BC1"/>
      <c r="BD1"/>
      <c r="BE1" s="23"/>
      <c r="BF1"/>
      <c r="BG1"/>
      <c r="BH1" s="23"/>
      <c r="BI1"/>
      <c r="BJ1"/>
      <c r="BK1" s="23"/>
      <c r="BL1"/>
      <c r="BM1"/>
      <c r="BN1" s="23"/>
      <c r="BO1"/>
      <c r="BP1"/>
      <c r="BQ1" s="23"/>
      <c r="BR1" s="22"/>
      <c r="BS1" s="23"/>
      <c r="BT1" s="29"/>
      <c r="BU1"/>
      <c r="BV1"/>
      <c r="BW1"/>
      <c r="BX1"/>
      <c r="BY1" s="23"/>
      <c r="BZ1"/>
      <c r="CA1"/>
      <c r="CB1" s="23"/>
      <c r="CC1"/>
      <c r="CD1"/>
      <c r="CE1" s="23"/>
      <c r="CF1" s="23"/>
      <c r="CG1" s="23"/>
      <c r="CH1" s="23"/>
      <c r="CI1" s="23"/>
      <c r="CJ1"/>
      <c r="CK1" s="23"/>
      <c r="CL1" s="30"/>
      <c r="CM1" s="30"/>
      <c r="CN1" s="31"/>
      <c r="CO1" s="30"/>
      <c r="CP1" s="30"/>
      <c r="CQ1" s="30"/>
      <c r="CR1" s="30"/>
      <c r="CS1" s="30"/>
      <c r="CT1" s="32" t="s">
        <v>3</v>
      </c>
      <c r="CU1"/>
      <c r="CV1"/>
      <c r="CW1"/>
      <c r="CX1"/>
      <c r="CY1" s="23"/>
      <c r="CZ1" s="33" t="s">
        <v>4</v>
      </c>
      <c r="DA1" s="34"/>
      <c r="DB1" s="34"/>
      <c r="DC1" s="35"/>
      <c r="DD1" s="99"/>
      <c r="DE1" s="36"/>
      <c r="DF1" s="89" t="s">
        <v>5</v>
      </c>
      <c r="DG1" s="37">
        <v>7.0000000000000007E-2</v>
      </c>
      <c r="DH1" s="38" t="s">
        <v>6</v>
      </c>
      <c r="DI1" s="89"/>
      <c r="DJ1" s="103"/>
      <c r="DK1" s="37">
        <v>7.6</v>
      </c>
      <c r="DM1" s="39" t="s">
        <v>7</v>
      </c>
      <c r="DN1" s="40">
        <f>windcoeff*Vt*Vt*2.4</f>
        <v>9.7036799999999985</v>
      </c>
      <c r="DO1" s="39" t="s">
        <v>8</v>
      </c>
      <c r="DP1" s="18">
        <v>0.13</v>
      </c>
      <c r="DQ1" s="17"/>
    </row>
    <row r="2" spans="1:122" ht="17.25" customHeight="1" x14ac:dyDescent="0.2">
      <c r="A2" s="41"/>
      <c r="B2" s="16"/>
      <c r="C2" s="91"/>
      <c r="D2" s="92"/>
      <c r="E2" s="91"/>
      <c r="F2" s="92"/>
      <c r="G2" s="92"/>
      <c r="H2" s="92"/>
      <c r="I2" s="18"/>
      <c r="J2" s="23"/>
      <c r="K2" s="18"/>
      <c r="L2" s="43"/>
      <c r="M2" s="20"/>
      <c r="N2" s="20"/>
      <c r="P2"/>
      <c r="Q2" s="22"/>
      <c r="R2" s="22"/>
      <c r="S2" s="18"/>
      <c r="T2" s="23"/>
      <c r="U2" s="23"/>
      <c r="V2" s="24"/>
      <c r="W2" s="24"/>
      <c r="X2" s="22"/>
      <c r="Y2" s="25"/>
      <c r="Z2" s="26"/>
      <c r="AA2"/>
      <c r="AB2" s="26"/>
      <c r="AC2" s="22"/>
      <c r="AD2" s="20"/>
      <c r="AE2" s="20"/>
      <c r="AF2" s="27"/>
      <c r="AG2" s="27"/>
      <c r="AH2" s="111"/>
      <c r="AI2" s="28"/>
      <c r="AJ2" s="28"/>
      <c r="AK2"/>
      <c r="AL2"/>
      <c r="AM2" s="18"/>
      <c r="AN2"/>
      <c r="AO2"/>
      <c r="AP2" s="23"/>
      <c r="AQ2"/>
      <c r="AR2"/>
      <c r="AS2" s="23"/>
      <c r="AT2"/>
      <c r="AU2"/>
      <c r="AV2" s="23"/>
      <c r="AW2"/>
      <c r="AX2"/>
      <c r="AY2" s="23"/>
      <c r="AZ2"/>
      <c r="BA2"/>
      <c r="BB2" s="23"/>
      <c r="BC2"/>
      <c r="BD2"/>
      <c r="BE2" s="23"/>
      <c r="BF2"/>
      <c r="BG2"/>
      <c r="BH2" s="23"/>
      <c r="BI2"/>
      <c r="BJ2"/>
      <c r="BK2" s="23"/>
      <c r="BL2"/>
      <c r="BM2"/>
      <c r="BN2" s="23"/>
      <c r="BO2"/>
      <c r="BP2"/>
      <c r="BQ2" s="23"/>
      <c r="BR2" s="22"/>
      <c r="BS2" s="23"/>
      <c r="BT2" s="29"/>
      <c r="BU2"/>
      <c r="BV2"/>
      <c r="BW2"/>
      <c r="BX2"/>
      <c r="BY2" s="23"/>
      <c r="BZ2"/>
      <c r="CA2"/>
      <c r="CB2" s="23"/>
      <c r="CC2"/>
      <c r="CD2"/>
      <c r="CE2" s="23"/>
      <c r="CF2" s="23"/>
      <c r="CG2" s="23"/>
      <c r="CH2" s="23"/>
      <c r="CI2" s="23"/>
      <c r="CJ2"/>
      <c r="CK2" s="23"/>
      <c r="CL2" s="30"/>
      <c r="CM2" s="30"/>
      <c r="CN2" s="31"/>
      <c r="CO2" s="30"/>
      <c r="CP2" s="30"/>
      <c r="CQ2" s="30"/>
      <c r="CR2" s="30"/>
      <c r="CS2" s="30"/>
      <c r="CT2" s="32"/>
      <c r="CU2"/>
      <c r="CV2"/>
      <c r="CW2"/>
      <c r="CX2"/>
      <c r="CY2" s="23"/>
      <c r="CZ2" s="33"/>
      <c r="DA2" s="34"/>
      <c r="DB2" s="34"/>
      <c r="DC2" s="35"/>
      <c r="DD2" s="99"/>
      <c r="DE2" s="36"/>
      <c r="DF2" s="89"/>
      <c r="DG2" s="37"/>
      <c r="DH2" s="38"/>
      <c r="DI2" s="89"/>
      <c r="DJ2" s="103"/>
      <c r="DK2" s="37"/>
      <c r="DM2" s="43"/>
      <c r="DN2" s="40"/>
      <c r="DO2" s="39"/>
      <c r="DP2"/>
      <c r="DQ2" s="17"/>
    </row>
    <row r="3" spans="1:122" ht="12.75" customHeight="1" x14ac:dyDescent="0.2">
      <c r="A3" s="44">
        <v>45118</v>
      </c>
      <c r="B3" s="16"/>
      <c r="C3" s="118" t="s">
        <v>10</v>
      </c>
      <c r="D3" s="118"/>
      <c r="E3" s="118" t="s">
        <v>590</v>
      </c>
      <c r="F3" s="118"/>
      <c r="G3" s="109" t="s">
        <v>548</v>
      </c>
      <c r="H3" s="109" t="s">
        <v>548</v>
      </c>
      <c r="I3" s="18"/>
      <c r="J3" s="23"/>
      <c r="K3" s="18"/>
      <c r="L3" s="91"/>
      <c r="M3" s="20"/>
      <c r="N3" s="20"/>
      <c r="O3" s="30" t="s">
        <v>9</v>
      </c>
      <c r="P3"/>
      <c r="Q3" s="22"/>
      <c r="R3" s="22"/>
      <c r="S3" s="18"/>
      <c r="T3" s="23"/>
      <c r="U3" s="23"/>
      <c r="V3" s="24"/>
      <c r="W3" s="24"/>
      <c r="X3" s="22"/>
      <c r="Y3" s="25"/>
      <c r="Z3" s="26"/>
      <c r="AA3"/>
      <c r="AB3" s="26"/>
      <c r="AC3" s="22"/>
      <c r="AD3" s="20"/>
      <c r="AE3" s="20"/>
      <c r="AF3" s="22"/>
      <c r="AG3" s="22"/>
      <c r="AH3" s="112"/>
      <c r="AI3" s="18"/>
      <c r="AJ3" s="18"/>
      <c r="AK3" s="18">
        <v>0</v>
      </c>
      <c r="AL3"/>
      <c r="AM3"/>
      <c r="AN3"/>
      <c r="AO3"/>
      <c r="AP3" s="23"/>
      <c r="AQ3"/>
      <c r="AR3"/>
      <c r="AS3" s="23"/>
      <c r="AT3"/>
      <c r="AU3"/>
      <c r="AV3" s="23"/>
      <c r="AW3"/>
      <c r="AX3"/>
      <c r="AY3" s="23"/>
      <c r="AZ3"/>
      <c r="BA3"/>
      <c r="BB3" s="23"/>
      <c r="BC3"/>
      <c r="BD3"/>
      <c r="BE3" s="23"/>
      <c r="BF3"/>
      <c r="BG3"/>
      <c r="BH3" s="23"/>
      <c r="BI3"/>
      <c r="BJ3"/>
      <c r="BK3" s="23"/>
      <c r="BL3"/>
      <c r="BM3"/>
      <c r="BN3" s="23"/>
      <c r="BO3"/>
      <c r="BP3"/>
      <c r="BQ3" s="23"/>
      <c r="BR3" s="22"/>
      <c r="BS3" s="23"/>
      <c r="BT3" s="23"/>
      <c r="BU3"/>
      <c r="BV3"/>
      <c r="BW3"/>
      <c r="BX3"/>
      <c r="BY3" s="23"/>
      <c r="BZ3"/>
      <c r="CA3"/>
      <c r="CB3" s="23"/>
      <c r="CC3"/>
      <c r="CD3"/>
      <c r="CE3" s="23"/>
      <c r="CF3" s="23"/>
      <c r="CG3" s="23"/>
      <c r="CH3" s="23"/>
      <c r="CI3" s="23"/>
      <c r="CJ3"/>
      <c r="CK3" s="23"/>
      <c r="CL3" s="30"/>
      <c r="CM3" s="30"/>
      <c r="CN3" s="31"/>
      <c r="CO3" s="30"/>
      <c r="CP3" s="30"/>
      <c r="CQ3" s="30"/>
      <c r="CR3" s="30"/>
      <c r="CS3" s="30"/>
      <c r="CT3" s="32"/>
      <c r="CU3"/>
      <c r="CV3"/>
      <c r="CW3"/>
      <c r="CX3"/>
      <c r="CY3" s="23"/>
      <c r="CZ3" s="34"/>
      <c r="DA3" s="34"/>
      <c r="DB3" s="34"/>
      <c r="DC3" s="34"/>
      <c r="DD3" s="100"/>
      <c r="DE3" s="23"/>
      <c r="DF3" s="30"/>
      <c r="DG3" s="30"/>
      <c r="DH3" s="30"/>
      <c r="DI3" s="30"/>
      <c r="DJ3" s="42"/>
      <c r="DK3"/>
      <c r="DM3" s="43"/>
      <c r="DN3" s="43"/>
      <c r="DO3" s="19"/>
      <c r="DP3" s="18" t="s">
        <v>11</v>
      </c>
      <c r="DQ3" s="45" t="s">
        <v>12</v>
      </c>
    </row>
    <row r="4" spans="1:122" s="47" customFormat="1" ht="13.5" customHeight="1" x14ac:dyDescent="0.25">
      <c r="A4" s="47" t="s">
        <v>13</v>
      </c>
      <c r="B4" s="18" t="s">
        <v>14</v>
      </c>
      <c r="C4" s="119"/>
      <c r="D4" s="119"/>
      <c r="E4" s="119"/>
      <c r="F4" s="119"/>
      <c r="G4" s="67"/>
      <c r="H4" s="67"/>
      <c r="I4" s="18" t="s">
        <v>597</v>
      </c>
      <c r="J4" s="23" t="s">
        <v>600</v>
      </c>
      <c r="K4" s="18" t="s">
        <v>599</v>
      </c>
      <c r="L4" s="20" t="s">
        <v>15</v>
      </c>
      <c r="M4" s="20" t="s">
        <v>16</v>
      </c>
      <c r="N4" s="20" t="s">
        <v>16</v>
      </c>
      <c r="O4" s="18" t="s">
        <v>17</v>
      </c>
      <c r="P4" s="18" t="s">
        <v>18</v>
      </c>
      <c r="Q4" s="18" t="s">
        <v>19</v>
      </c>
      <c r="R4" s="18" t="s">
        <v>20</v>
      </c>
      <c r="S4" s="18" t="s">
        <v>509</v>
      </c>
      <c r="T4" s="23" t="s">
        <v>21</v>
      </c>
      <c r="U4" s="23" t="s">
        <v>22</v>
      </c>
      <c r="V4" s="21" t="s">
        <v>603</v>
      </c>
      <c r="W4" s="24" t="s">
        <v>22</v>
      </c>
      <c r="X4" s="18" t="s">
        <v>23</v>
      </c>
      <c r="Y4" s="25" t="s">
        <v>24</v>
      </c>
      <c r="Z4" s="18" t="s">
        <v>25</v>
      </c>
      <c r="AA4" s="23" t="s">
        <v>26</v>
      </c>
      <c r="AB4" s="18" t="s">
        <v>27</v>
      </c>
      <c r="AC4" s="18" t="s">
        <v>28</v>
      </c>
      <c r="AD4" s="20" t="s">
        <v>29</v>
      </c>
      <c r="AE4" s="20" t="s">
        <v>29</v>
      </c>
      <c r="AF4" s="18" t="s">
        <v>30</v>
      </c>
      <c r="AG4" s="18" t="s">
        <v>31</v>
      </c>
      <c r="AH4" s="78" t="s">
        <v>32</v>
      </c>
      <c r="AI4" s="18"/>
      <c r="AJ4" s="18"/>
      <c r="AK4" s="18" t="s">
        <v>33</v>
      </c>
      <c r="AL4" s="18" t="s">
        <v>34</v>
      </c>
      <c r="AM4" s="23" t="s">
        <v>35</v>
      </c>
      <c r="AN4" s="18" t="s">
        <v>33</v>
      </c>
      <c r="AO4" s="18" t="s">
        <v>36</v>
      </c>
      <c r="AP4" s="23" t="s">
        <v>37</v>
      </c>
      <c r="AQ4" s="18" t="s">
        <v>38</v>
      </c>
      <c r="AR4" s="18" t="s">
        <v>39</v>
      </c>
      <c r="AS4" s="23" t="s">
        <v>40</v>
      </c>
      <c r="AT4" s="18" t="s">
        <v>41</v>
      </c>
      <c r="AU4" s="18" t="s">
        <v>42</v>
      </c>
      <c r="AV4" s="23" t="s">
        <v>43</v>
      </c>
      <c r="AW4" s="18" t="s">
        <v>44</v>
      </c>
      <c r="AX4" s="18" t="s">
        <v>45</v>
      </c>
      <c r="AY4" s="23" t="s">
        <v>46</v>
      </c>
      <c r="AZ4" s="18" t="s">
        <v>47</v>
      </c>
      <c r="BA4" s="18" t="s">
        <v>48</v>
      </c>
      <c r="BB4" s="23" t="s">
        <v>49</v>
      </c>
      <c r="BC4" s="18" t="s">
        <v>50</v>
      </c>
      <c r="BD4" s="18" t="s">
        <v>51</v>
      </c>
      <c r="BE4" s="23" t="s">
        <v>52</v>
      </c>
      <c r="BF4" s="18" t="s">
        <v>53</v>
      </c>
      <c r="BG4" s="18" t="s">
        <v>54</v>
      </c>
      <c r="BH4" s="23" t="s">
        <v>55</v>
      </c>
      <c r="BI4" s="18" t="s">
        <v>56</v>
      </c>
      <c r="BJ4" s="18" t="s">
        <v>57</v>
      </c>
      <c r="BK4" s="23" t="s">
        <v>58</v>
      </c>
      <c r="BL4" s="18" t="s">
        <v>59</v>
      </c>
      <c r="BM4" s="18" t="s">
        <v>60</v>
      </c>
      <c r="BN4" s="23" t="s">
        <v>61</v>
      </c>
      <c r="BO4" s="18" t="s">
        <v>62</v>
      </c>
      <c r="BP4" s="18" t="s">
        <v>63</v>
      </c>
      <c r="BQ4" s="23" t="s">
        <v>64</v>
      </c>
      <c r="BR4" s="18" t="s">
        <v>65</v>
      </c>
      <c r="BS4" s="23" t="s">
        <v>66</v>
      </c>
      <c r="BT4" s="23" t="s">
        <v>67</v>
      </c>
      <c r="BU4" s="23" t="s">
        <v>68</v>
      </c>
      <c r="BV4" s="23" t="s">
        <v>69</v>
      </c>
      <c r="BW4" s="23" t="s">
        <v>529</v>
      </c>
      <c r="BX4" s="18" t="s">
        <v>70</v>
      </c>
      <c r="BY4" s="23" t="s">
        <v>71</v>
      </c>
      <c r="BZ4" s="18" t="s">
        <v>72</v>
      </c>
      <c r="CA4" s="18" t="s">
        <v>73</v>
      </c>
      <c r="CB4" s="23" t="s">
        <v>74</v>
      </c>
      <c r="CC4" s="18" t="s">
        <v>75</v>
      </c>
      <c r="CD4" s="18" t="s">
        <v>76</v>
      </c>
      <c r="CE4" s="23" t="s">
        <v>77</v>
      </c>
      <c r="CF4" s="23" t="s">
        <v>526</v>
      </c>
      <c r="CG4" s="23" t="s">
        <v>527</v>
      </c>
      <c r="CH4" s="23" t="s">
        <v>528</v>
      </c>
      <c r="CI4" s="23" t="s">
        <v>20</v>
      </c>
      <c r="CJ4" s="18" t="s">
        <v>78</v>
      </c>
      <c r="CK4" s="23" t="s">
        <v>79</v>
      </c>
      <c r="CL4" s="18" t="s">
        <v>80</v>
      </c>
      <c r="CM4" s="18" t="s">
        <v>81</v>
      </c>
      <c r="CN4" s="49" t="s">
        <v>82</v>
      </c>
      <c r="CO4" s="18" t="s">
        <v>83</v>
      </c>
      <c r="CP4" s="18" t="s">
        <v>84</v>
      </c>
      <c r="CQ4" s="18" t="s">
        <v>85</v>
      </c>
      <c r="CR4" s="18" t="s">
        <v>86</v>
      </c>
      <c r="CS4" s="18" t="s">
        <v>87</v>
      </c>
      <c r="CT4" s="18" t="s">
        <v>88</v>
      </c>
      <c r="CU4" s="18" t="s">
        <v>89</v>
      </c>
      <c r="CV4" s="18" t="s">
        <v>90</v>
      </c>
      <c r="CW4" s="18" t="s">
        <v>91</v>
      </c>
      <c r="CX4" s="18" t="s">
        <v>92</v>
      </c>
      <c r="CY4" s="23" t="s">
        <v>93</v>
      </c>
      <c r="CZ4" s="34" t="s">
        <v>94</v>
      </c>
      <c r="DA4" s="34" t="s">
        <v>95</v>
      </c>
      <c r="DB4" s="34" t="s">
        <v>96</v>
      </c>
      <c r="DC4" s="34" t="s">
        <v>97</v>
      </c>
      <c r="DD4" s="101" t="s">
        <v>98</v>
      </c>
      <c r="DE4" s="23" t="s">
        <v>99</v>
      </c>
      <c r="DF4" s="18" t="s">
        <v>100</v>
      </c>
      <c r="DG4" s="18" t="s">
        <v>101</v>
      </c>
      <c r="DH4" s="18" t="s">
        <v>102</v>
      </c>
      <c r="DI4" s="18" t="s">
        <v>99</v>
      </c>
      <c r="DJ4" s="48" t="s">
        <v>541</v>
      </c>
      <c r="DK4" s="50" t="s">
        <v>103</v>
      </c>
      <c r="DM4" s="51"/>
      <c r="DN4" s="51"/>
      <c r="DO4" s="46" t="s">
        <v>104</v>
      </c>
      <c r="DP4" s="18" t="s">
        <v>105</v>
      </c>
      <c r="DQ4" s="52" t="s">
        <v>106</v>
      </c>
      <c r="DR4" s="107" t="s">
        <v>605</v>
      </c>
    </row>
    <row r="5" spans="1:122" ht="24" customHeight="1" x14ac:dyDescent="0.2">
      <c r="A5"/>
      <c r="B5" s="18"/>
      <c r="C5" s="67" t="s">
        <v>107</v>
      </c>
      <c r="D5" s="67" t="s">
        <v>108</v>
      </c>
      <c r="E5" s="67" t="s">
        <v>107</v>
      </c>
      <c r="F5" s="67" t="s">
        <v>108</v>
      </c>
      <c r="G5" s="67" t="s">
        <v>107</v>
      </c>
      <c r="H5" s="67" t="s">
        <v>549</v>
      </c>
      <c r="I5" s="18"/>
      <c r="J5" s="23"/>
      <c r="K5" s="18" t="s">
        <v>109</v>
      </c>
      <c r="L5" s="20" t="s">
        <v>110</v>
      </c>
      <c r="M5" s="20" t="s">
        <v>111</v>
      </c>
      <c r="N5" s="20" t="s">
        <v>112</v>
      </c>
      <c r="O5" s="20" t="s">
        <v>601</v>
      </c>
      <c r="P5" s="18"/>
      <c r="Q5" s="18"/>
      <c r="R5" s="18"/>
      <c r="S5" s="18" t="s">
        <v>510</v>
      </c>
      <c r="T5" s="23"/>
      <c r="U5" s="23" t="s">
        <v>113</v>
      </c>
      <c r="V5" s="24" t="s">
        <v>114</v>
      </c>
      <c r="W5" s="24" t="s">
        <v>115</v>
      </c>
      <c r="X5" s="18"/>
      <c r="Y5" s="25" t="s">
        <v>116</v>
      </c>
      <c r="Z5" s="18"/>
      <c r="AA5" s="23" t="s">
        <v>117</v>
      </c>
      <c r="AB5" s="18"/>
      <c r="AC5" s="18"/>
      <c r="AD5" s="20" t="s">
        <v>111</v>
      </c>
      <c r="AE5" s="20" t="s">
        <v>112</v>
      </c>
      <c r="AF5" s="18"/>
      <c r="AG5" s="18"/>
      <c r="AH5" s="78" t="s">
        <v>118</v>
      </c>
      <c r="AI5" s="52" t="s">
        <v>107</v>
      </c>
      <c r="AJ5" s="52" t="s">
        <v>119</v>
      </c>
      <c r="AK5" s="18"/>
      <c r="AL5" s="18"/>
      <c r="AM5" s="23"/>
      <c r="AN5" s="18" t="s">
        <v>120</v>
      </c>
      <c r="AO5" s="18"/>
      <c r="AP5" s="23"/>
      <c r="AQ5" s="18"/>
      <c r="AR5" s="18"/>
      <c r="AS5" s="23"/>
      <c r="AT5" s="18"/>
      <c r="AU5" s="18"/>
      <c r="AV5" s="23"/>
      <c r="AW5" s="18"/>
      <c r="AX5" s="18"/>
      <c r="AY5" s="23"/>
      <c r="AZ5" s="18"/>
      <c r="BA5" s="18"/>
      <c r="BB5" s="23"/>
      <c r="BC5" s="18"/>
      <c r="BD5" s="18"/>
      <c r="BE5" s="23"/>
      <c r="BF5" s="18"/>
      <c r="BG5" s="18"/>
      <c r="BH5" s="23"/>
      <c r="BI5" s="18"/>
      <c r="BJ5" s="18"/>
      <c r="BK5" s="23"/>
      <c r="BL5" s="18"/>
      <c r="BM5" s="18"/>
      <c r="BN5" s="23"/>
      <c r="BO5" s="18"/>
      <c r="BP5" s="18"/>
      <c r="BQ5" s="23"/>
      <c r="BR5" s="18" t="s">
        <v>121</v>
      </c>
      <c r="BS5" s="23"/>
      <c r="BT5" s="23"/>
      <c r="BU5" s="23"/>
      <c r="BV5" s="23"/>
      <c r="BW5" s="23"/>
      <c r="BX5" s="18"/>
      <c r="BY5" s="23"/>
      <c r="BZ5" s="18"/>
      <c r="CA5" s="18"/>
      <c r="CB5" s="23"/>
      <c r="CC5" s="18"/>
      <c r="CD5" s="18"/>
      <c r="CE5" s="23"/>
      <c r="CF5" s="23"/>
      <c r="CG5" s="23"/>
      <c r="CH5" s="23"/>
      <c r="CI5" s="23"/>
      <c r="CJ5" s="18" t="s">
        <v>122</v>
      </c>
      <c r="CK5" s="23" t="s">
        <v>122</v>
      </c>
      <c r="CL5" s="18"/>
      <c r="CM5" s="18"/>
      <c r="CN5" s="49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23"/>
      <c r="CZ5" s="34"/>
      <c r="DA5" s="34"/>
      <c r="DB5" s="34"/>
      <c r="DC5" s="34"/>
      <c r="DD5" s="100" t="s">
        <v>123</v>
      </c>
      <c r="DE5" s="23"/>
      <c r="DF5" s="18" t="s">
        <v>124</v>
      </c>
      <c r="DG5" s="18" t="s">
        <v>124</v>
      </c>
      <c r="DH5" s="18" t="s">
        <v>124</v>
      </c>
      <c r="DI5" s="18" t="s">
        <v>124</v>
      </c>
      <c r="DJ5" s="48" t="s">
        <v>124</v>
      </c>
      <c r="DK5" s="50"/>
      <c r="DM5" s="20" t="s">
        <v>125</v>
      </c>
      <c r="DN5" s="20" t="s">
        <v>126</v>
      </c>
      <c r="DO5" s="46" t="s">
        <v>105</v>
      </c>
      <c r="DP5" s="30">
        <v>0.11</v>
      </c>
      <c r="DQ5" s="52" t="s">
        <v>127</v>
      </c>
    </row>
    <row r="6" spans="1:122" ht="12.75" customHeight="1" x14ac:dyDescent="0.2">
      <c r="A6"/>
      <c r="B6" s="18"/>
      <c r="C6" s="67"/>
      <c r="D6" s="67"/>
      <c r="E6" s="67"/>
      <c r="F6" s="67"/>
      <c r="G6" s="67"/>
      <c r="H6" s="67"/>
      <c r="I6" s="18"/>
      <c r="J6" s="23"/>
      <c r="K6" s="18"/>
      <c r="L6" s="20"/>
      <c r="M6" s="20"/>
      <c r="N6" s="20"/>
      <c r="O6" s="18"/>
      <c r="P6" s="18"/>
      <c r="Q6" s="18"/>
      <c r="R6" s="18"/>
      <c r="S6" s="18"/>
      <c r="T6" s="23"/>
      <c r="U6" s="23"/>
      <c r="V6" s="24"/>
      <c r="W6" s="24"/>
      <c r="X6" s="18"/>
      <c r="Y6" s="25"/>
      <c r="Z6" s="18"/>
      <c r="AA6" s="23"/>
      <c r="AB6" s="18"/>
      <c r="AC6" s="18"/>
      <c r="AD6" s="20"/>
      <c r="AE6" s="20"/>
      <c r="AF6" s="18"/>
      <c r="AG6" s="18"/>
      <c r="AH6" s="114"/>
      <c r="AI6" s="52"/>
      <c r="AJ6" s="52"/>
      <c r="AK6" s="18"/>
      <c r="AL6" s="18"/>
      <c r="AM6" s="23"/>
      <c r="AN6" s="18"/>
      <c r="AO6" s="18"/>
      <c r="AP6" s="23"/>
      <c r="AQ6" s="18"/>
      <c r="AR6" s="18"/>
      <c r="AS6" s="23"/>
      <c r="AT6" s="18"/>
      <c r="AU6" s="18"/>
      <c r="AV6" s="23"/>
      <c r="AW6" s="18"/>
      <c r="AX6" s="18"/>
      <c r="AY6" s="23"/>
      <c r="AZ6" s="18"/>
      <c r="BA6" s="18"/>
      <c r="BB6" s="23"/>
      <c r="BC6" s="18"/>
      <c r="BD6" s="18"/>
      <c r="BE6" s="23"/>
      <c r="BF6" s="18"/>
      <c r="BG6" s="18"/>
      <c r="BH6" s="23"/>
      <c r="BI6" s="18"/>
      <c r="BJ6" s="18"/>
      <c r="BK6" s="23"/>
      <c r="BL6" s="18"/>
      <c r="BM6" s="18"/>
      <c r="BN6" s="23"/>
      <c r="BO6" s="18"/>
      <c r="BP6" s="18"/>
      <c r="BQ6" s="23"/>
      <c r="BR6" s="18"/>
      <c r="BS6" s="23"/>
      <c r="BT6" s="23"/>
      <c r="BU6" s="23"/>
      <c r="BV6" s="23"/>
      <c r="BW6" s="23"/>
      <c r="BX6" s="18"/>
      <c r="BY6" s="23"/>
      <c r="BZ6" s="18"/>
      <c r="CA6" s="18"/>
      <c r="CB6" s="23"/>
      <c r="CC6" s="18"/>
      <c r="CD6" s="18"/>
      <c r="CE6" s="23"/>
      <c r="CF6" s="23"/>
      <c r="CG6" s="23"/>
      <c r="CH6" s="23"/>
      <c r="CI6" s="23"/>
      <c r="CJ6" s="18"/>
      <c r="CK6" s="23"/>
      <c r="CL6" s="18"/>
      <c r="CM6" s="18"/>
      <c r="CN6" s="49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23"/>
      <c r="CZ6" s="34"/>
      <c r="DA6" s="34"/>
      <c r="DB6" s="34"/>
      <c r="DC6" s="34"/>
      <c r="DD6" s="100"/>
      <c r="DE6" s="23"/>
      <c r="DF6" s="18"/>
      <c r="DG6" s="18"/>
      <c r="DH6" s="18"/>
      <c r="DI6" s="18"/>
      <c r="DJ6" s="48"/>
      <c r="DK6" s="50"/>
      <c r="DM6" s="20"/>
      <c r="DN6" s="20"/>
      <c r="DO6" s="46"/>
      <c r="DP6" s="30"/>
      <c r="DQ6" s="18"/>
    </row>
    <row r="7" spans="1:122" ht="12.95" customHeight="1" x14ac:dyDescent="0.2">
      <c r="A7" s="53" t="s">
        <v>128</v>
      </c>
      <c r="B7" s="54">
        <v>1</v>
      </c>
      <c r="C7" s="92">
        <f t="shared" ref="C7:C37" si="0">AI7*PowerFactor</f>
        <v>95.626417342005524</v>
      </c>
      <c r="D7" s="92">
        <f t="shared" ref="D7:D37" si="1">AJ7*PowerFactor*IF(crew=1,1.01,1)</f>
        <v>91.298831746320005</v>
      </c>
      <c r="E7" s="92">
        <f>VLOOKUP(A7,[3]TRTOTAL!$A$7:$D$313,3,FALSE)</f>
        <v>99.642108344007013</v>
      </c>
      <c r="F7" s="92">
        <f>VLOOKUP(A7,[3]TRTOTAL!$A$7:$D$313,4,FALSE)</f>
        <v>95.132792144791381</v>
      </c>
      <c r="G7" s="92">
        <f>C7-E7</f>
        <v>-4.0156910020014891</v>
      </c>
      <c r="H7" s="92">
        <f>D7-F7</f>
        <v>-3.8339603984713762</v>
      </c>
      <c r="I7" s="54">
        <v>5.49</v>
      </c>
      <c r="J7" s="56">
        <v>5.49</v>
      </c>
      <c r="K7" s="54">
        <v>2.2999999999999998</v>
      </c>
      <c r="L7" s="57">
        <v>1</v>
      </c>
      <c r="M7" s="57">
        <v>75</v>
      </c>
      <c r="N7" s="57"/>
      <c r="O7" s="7" t="s">
        <v>604</v>
      </c>
      <c r="P7" s="24">
        <f t="shared" ref="P7:P35" si="2">marea+areaMast+mssam+mareNoDet</f>
        <v>13.94</v>
      </c>
      <c r="Q7" s="24">
        <f t="shared" ref="Q7:Q27" si="3">voorvlm1+voorllm2</f>
        <v>8.83</v>
      </c>
      <c r="R7" s="24">
        <f t="shared" ref="R7:R37" si="4">CI7</f>
        <v>0</v>
      </c>
      <c r="S7" s="87">
        <v>9</v>
      </c>
      <c r="T7" s="21">
        <f t="shared" ref="T7:T35" si="5">IF(gs_1,gs_1*0.94,VlgNoDetails)</f>
        <v>0</v>
      </c>
      <c r="U7" s="21">
        <v>1.85</v>
      </c>
      <c r="V7" s="24">
        <f t="shared" ref="V7:V37" si="6">IF(e_sp,e_sp,(IF(mfoot,MAX(CU7:CX7),IF(mainh1,mainh1,vlm*0.3))))</f>
        <v>1.85</v>
      </c>
      <c r="W7" s="24">
        <f t="shared" ref="W7:W35" si="7">IF(circMast,circMast/2,0.16)+V7</f>
        <v>2.0100000000000002</v>
      </c>
      <c r="X7" s="24">
        <f t="shared" ref="X7:X35" si="8">msam/e^2</f>
        <v>3.4504096433256595</v>
      </c>
      <c r="Y7" s="25">
        <f t="shared" ref="Y7:Y70" si="9">IF(Decksweeper="yes",1,IF(mainh1,(mainh1/V7)^0.7,IF(mfoot&lt;CW7,(mfoot/CW7)^0.7,1)))</f>
        <v>1</v>
      </c>
      <c r="Z7" s="24">
        <f t="shared" ref="Z7:Z65" si="10">0.67*X7^0.3*msam*Y7</f>
        <v>13.542497813461418</v>
      </c>
      <c r="AA7" s="21">
        <f t="shared" ref="AA7:AA35" si="11">IF(lpg,msag/lpg^2,0)</f>
        <v>0</v>
      </c>
      <c r="AB7" s="24">
        <f t="shared" ref="AB7:AB65" si="12">IF(AA7,0.72*AA7^0.3*msag,IF(msag,0.9*msag,0))</f>
        <v>0</v>
      </c>
      <c r="AC7" s="24">
        <f t="shared" ref="AC7:AC35" si="13">rsam+rsag+IF(rsascr,rsascr-jibred*rsag,rsas-jibred*rsag)</f>
        <v>16.092497813461417</v>
      </c>
      <c r="AD7" s="58">
        <f t="shared" ref="AD7:AD35" si="14">IF(wsex,wsex,wsin-6)+crew*(IF(AND(crew=1,msam+msag&gt;=11),75,IF(loa&lt;=4,65,IF(loa&lt;=4.8,70,75))))</f>
        <v>150</v>
      </c>
      <c r="AE7" s="58">
        <f t="shared" ref="AE7:AE35" si="15">IF(wsin,wsin,wsex+6)+crew*(IF(AND(crew=1,msam+msag&gt;=11),75,IF(loa&lt;=4,65,IF(loa&lt;=4.8,70,75))))</f>
        <v>156</v>
      </c>
      <c r="AF7" s="21">
        <f t="shared" ref="AF7:AF65" si="16">IF(sas,((sas)*0.15),IF(loa&lt;=4.87,IF(crew=1,14*0.15,17*0.15),IF(loa&lt;=5.8,IF(crew=1,17*0.15,21*0.15),IF(loa&lt;=6.71,IF(crew=1,20*0.15,25*0.15),0))))</f>
        <v>2.5499999999999998</v>
      </c>
      <c r="AG7" s="77">
        <f t="shared" ref="AG7:AG65" si="17">IF(AND(ars&lt;0.75*(AND(ars&gt;0)),(sas/msam&gt;0.75)),(sas*(12/ars^1.1)*0.01),0)</f>
        <v>0</v>
      </c>
      <c r="AH7" s="114">
        <f>IF(lb="no",1.04,(IF(lb="",1,(IF(lb="C",0.985,0.95)))))</f>
        <v>0.95</v>
      </c>
      <c r="AI7" s="59">
        <f t="shared" ref="AI7:AI65" si="18">100/(1.15*rl^0.3*(rsam+rsag)^0.4/rwex^0.325)*corcb</f>
        <v>89.064413247843547</v>
      </c>
      <c r="AJ7" s="59">
        <f t="shared" ref="AJ7:AJ65" si="19">100/(1.15*rl^0.3*rsa^0.4/rwin^0.325)*corcb</f>
        <v>84.191873243867988</v>
      </c>
      <c r="AK7" s="55"/>
      <c r="AL7" s="55"/>
      <c r="AM7" s="21">
        <f t="shared" ref="AM7:AM39" si="20">AK7*AL7*0.5</f>
        <v>0</v>
      </c>
      <c r="AN7" s="54">
        <v>8.83</v>
      </c>
      <c r="AO7" s="55"/>
      <c r="AP7" s="21">
        <f t="shared" ref="AP7:AP35" si="21">AN7*AO7*2/3</f>
        <v>0</v>
      </c>
      <c r="AQ7" s="55"/>
      <c r="AR7" s="55"/>
      <c r="AS7" s="21">
        <f t="shared" ref="AS7:AS35" si="22">AQ7*AR7*2/3</f>
        <v>0</v>
      </c>
      <c r="AT7" s="54"/>
      <c r="AU7" s="54"/>
      <c r="AV7" s="21">
        <f t="shared" ref="AV7:AV35" si="23">AT7*AU7*0.5</f>
        <v>0</v>
      </c>
      <c r="AW7" s="54"/>
      <c r="AX7" s="54"/>
      <c r="AY7" s="21">
        <f t="shared" ref="AY7:AY35" si="24">AW7*AX7*0.5</f>
        <v>0</v>
      </c>
      <c r="AZ7" s="54"/>
      <c r="BA7" s="54"/>
      <c r="BB7" s="21">
        <f t="shared" ref="BB7:BB35" si="25">AZ7*BA7*2/3</f>
        <v>0</v>
      </c>
      <c r="BC7" s="54"/>
      <c r="BD7" s="54"/>
      <c r="BE7" s="21">
        <f t="shared" ref="BE7:BE35" si="26">BC7*BD7*2/3</f>
        <v>0</v>
      </c>
      <c r="BF7" s="55"/>
      <c r="BG7" s="55"/>
      <c r="BH7" s="21">
        <f t="shared" ref="BH7:BH35" si="27">BF7*BG7*0.5</f>
        <v>0</v>
      </c>
      <c r="BI7" s="55"/>
      <c r="BJ7" s="55"/>
      <c r="BK7" s="21">
        <f t="shared" ref="BK7:BK35" si="28">BI7*BJ7*2/3</f>
        <v>0</v>
      </c>
      <c r="BL7" s="55"/>
      <c r="BM7" s="55"/>
      <c r="BN7" s="21">
        <f t="shared" ref="BN7:BN32" si="29">BL7*BM7*0.5</f>
        <v>0</v>
      </c>
      <c r="BO7" s="55"/>
      <c r="BP7" s="55"/>
      <c r="BQ7" s="21">
        <f t="shared" ref="BQ7:BQ32" si="30">BO7*BP7*0.5</f>
        <v>0</v>
      </c>
      <c r="BR7" s="55"/>
      <c r="BS7" s="21">
        <f t="shared" ref="BS7:BS35" si="31">AM7+AP7+AS7+AV7+AY7+BB7+BE7+BH7+BK7+BN7+BQ7</f>
        <v>0</v>
      </c>
      <c r="BT7" s="56">
        <v>0</v>
      </c>
      <c r="BU7" s="56"/>
      <c r="BV7" s="21">
        <f t="shared" ref="BV7:BV47" si="32">BT7*BU7*0.5</f>
        <v>0</v>
      </c>
      <c r="BW7" s="77">
        <f t="shared" ref="BW7:BW65" si="33">BT7-CF7</f>
        <v>0</v>
      </c>
      <c r="BX7" s="55"/>
      <c r="BY7" s="21">
        <f t="shared" ref="BY7:BY47" si="34">BW7*BX7*2/3</f>
        <v>0</v>
      </c>
      <c r="BZ7" s="55"/>
      <c r="CA7" s="55"/>
      <c r="CB7" s="21">
        <f t="shared" ref="CB7:CB47" si="35">BZ7*CA7*2/3</f>
        <v>0</v>
      </c>
      <c r="CC7" s="54"/>
      <c r="CD7" s="54"/>
      <c r="CE7" s="21">
        <f t="shared" ref="CE7:CE47" si="36">CC7*CD7*2/3</f>
        <v>0</v>
      </c>
      <c r="CF7" s="21"/>
      <c r="CG7" s="21"/>
      <c r="CH7" s="21">
        <f t="shared" ref="CH7:CH65" si="37">CF7*CG7*0.5</f>
        <v>0</v>
      </c>
      <c r="CI7" s="25">
        <f t="shared" ref="CI7:CI65" si="38">BV7+BY7+CB7+CE7+CH7+DG7</f>
        <v>0</v>
      </c>
      <c r="CJ7" s="54"/>
      <c r="CK7" s="21">
        <f t="shared" ref="CK7:CK35" si="39">MastLength*circMast*0.5</f>
        <v>0</v>
      </c>
      <c r="CL7" s="55"/>
      <c r="CM7" s="55"/>
      <c r="CN7" s="60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21">
        <f t="shared" ref="CY7:CY35" si="40">(CT7+4*CU7+2*CV7+4*CW7+CX7)*AN7/12</f>
        <v>0</v>
      </c>
      <c r="CZ7" s="56"/>
      <c r="DA7" s="56"/>
      <c r="DB7" s="56"/>
      <c r="DC7" s="56"/>
      <c r="DD7" s="61">
        <f t="shared" ref="DD7:DD65" si="41">IF(CZ7,DC7/CZ7,smg_sf_no_details)</f>
        <v>0</v>
      </c>
      <c r="DE7" s="21">
        <f t="shared" ref="DE7:DE65" si="42">IF(CZ7,CZ7*(DA7+DB7)/4+(DC7-CZ7/2)*(DA7+DB7)/3,sas_no_details)</f>
        <v>0</v>
      </c>
      <c r="DF7" s="55">
        <v>13.94</v>
      </c>
      <c r="DG7" s="55"/>
      <c r="DH7" s="55"/>
      <c r="DI7" s="55"/>
      <c r="DJ7" s="104"/>
      <c r="DK7" s="53" t="s">
        <v>129</v>
      </c>
      <c r="DM7" s="58">
        <f t="shared" ref="DM7:DM65" si="43">((0.42*vlm+IF(Decksweeper="yes",0.98,1))*msam+(0.33*vlg+1)*msag)*DynPress</f>
        <v>636.92902221311988</v>
      </c>
      <c r="DN7" s="58">
        <f t="shared" ref="DN7:DN35" si="44">IF(wsex,0.5*wsex*width+(rwex-wsex)*width+trapeze*(rwex-wsex)/crew,0.5*(wsin-6)*width+(rwin-wsin)*width+trapeze*(rwin-wsin)/crew)</f>
        <v>333.75</v>
      </c>
      <c r="DO7" s="21">
        <f t="shared" ref="DO7:DO35" si="45">righting/heeling</f>
        <v>0.52399873197853031</v>
      </c>
      <c r="DP7" s="62">
        <f t="shared" ref="DP7:DP37" si="46">IF((1/DO7)^$DP$5&lt;1,1,(1/DO7)^$DP$5)</f>
        <v>1.0736770597241976</v>
      </c>
      <c r="DQ7" s="7" t="s">
        <v>130</v>
      </c>
      <c r="DR7" s="107">
        <f t="shared" ref="DR7:DR65" si="47">IF((vlm/MastLength)&gt;0.99,"yes",0)</f>
        <v>0</v>
      </c>
    </row>
    <row r="8" spans="1:122" ht="12.95" customHeight="1" x14ac:dyDescent="0.2">
      <c r="A8" s="53" t="s">
        <v>131</v>
      </c>
      <c r="B8" s="54">
        <v>1</v>
      </c>
      <c r="C8" s="92">
        <f t="shared" si="0"/>
        <v>99.149495875658374</v>
      </c>
      <c r="D8" s="92">
        <f t="shared" si="1"/>
        <v>94.662472915921285</v>
      </c>
      <c r="E8" s="92">
        <f>VLOOKUP(A8,[3]TRTOTAL!$A$7:$D$313,3,FALSE)</f>
        <v>100.67483473838638</v>
      </c>
      <c r="F8" s="92">
        <f>VLOOKUP(A8,[3]TRTOTAL!$A$7:$D$313,4,FALSE)</f>
        <v>96.118782375746193</v>
      </c>
      <c r="G8" s="92">
        <f t="shared" ref="G8:G66" si="48">C8-E8</f>
        <v>-1.525338862728006</v>
      </c>
      <c r="H8" s="92">
        <f t="shared" ref="H8:H66" si="49">D8-F8</f>
        <v>-1.456309459824908</v>
      </c>
      <c r="I8" s="54">
        <v>5.49</v>
      </c>
      <c r="J8" s="56">
        <v>5.49</v>
      </c>
      <c r="K8" s="54">
        <v>2.2999999999999998</v>
      </c>
      <c r="L8" s="57">
        <v>1</v>
      </c>
      <c r="M8" s="57">
        <v>75</v>
      </c>
      <c r="N8" s="57"/>
      <c r="O8" s="4" t="s">
        <v>602</v>
      </c>
      <c r="P8" s="24">
        <f t="shared" si="2"/>
        <v>13.94</v>
      </c>
      <c r="Q8" s="24">
        <f t="shared" si="3"/>
        <v>8.83</v>
      </c>
      <c r="R8" s="24">
        <f t="shared" si="4"/>
        <v>0</v>
      </c>
      <c r="S8" s="87">
        <v>9</v>
      </c>
      <c r="T8" s="21">
        <f t="shared" si="5"/>
        <v>0</v>
      </c>
      <c r="U8" s="21">
        <v>1.85</v>
      </c>
      <c r="V8" s="24">
        <f t="shared" si="6"/>
        <v>1.85</v>
      </c>
      <c r="W8" s="24">
        <f t="shared" si="7"/>
        <v>2.0100000000000002</v>
      </c>
      <c r="X8" s="24">
        <f t="shared" si="8"/>
        <v>3.4504096433256595</v>
      </c>
      <c r="Y8" s="25">
        <f t="shared" si="9"/>
        <v>1</v>
      </c>
      <c r="Z8" s="24">
        <f t="shared" si="10"/>
        <v>13.542497813461418</v>
      </c>
      <c r="AA8" s="21">
        <f t="shared" si="11"/>
        <v>0</v>
      </c>
      <c r="AB8" s="24">
        <f t="shared" si="12"/>
        <v>0</v>
      </c>
      <c r="AC8" s="24">
        <f t="shared" si="13"/>
        <v>16.092497813461417</v>
      </c>
      <c r="AD8" s="58">
        <f t="shared" si="14"/>
        <v>150</v>
      </c>
      <c r="AE8" s="58">
        <f t="shared" si="15"/>
        <v>156</v>
      </c>
      <c r="AF8" s="21">
        <f t="shared" si="16"/>
        <v>2.5499999999999998</v>
      </c>
      <c r="AG8" s="77">
        <f t="shared" si="17"/>
        <v>0</v>
      </c>
      <c r="AH8" s="114">
        <f t="shared" ref="AH8:AH70" si="50">IF(lb="no",1.04,(IF(lb="",1,(IF(lb="c",0.985,0.95)))))</f>
        <v>0.98499999999999999</v>
      </c>
      <c r="AI8" s="59">
        <f t="shared" si="18"/>
        <v>92.345733735921996</v>
      </c>
      <c r="AJ8" s="59">
        <f t="shared" si="19"/>
        <v>87.293679100221027</v>
      </c>
      <c r="AK8" s="55"/>
      <c r="AL8" s="55"/>
      <c r="AM8" s="21">
        <f t="shared" si="20"/>
        <v>0</v>
      </c>
      <c r="AN8" s="54">
        <v>8.83</v>
      </c>
      <c r="AO8" s="55"/>
      <c r="AP8" s="21">
        <f t="shared" si="21"/>
        <v>0</v>
      </c>
      <c r="AQ8" s="55"/>
      <c r="AR8" s="55"/>
      <c r="AS8" s="21">
        <f t="shared" si="22"/>
        <v>0</v>
      </c>
      <c r="AT8" s="54"/>
      <c r="AU8" s="54"/>
      <c r="AV8" s="21">
        <f t="shared" si="23"/>
        <v>0</v>
      </c>
      <c r="AW8" s="54"/>
      <c r="AX8" s="54"/>
      <c r="AY8" s="21">
        <f t="shared" si="24"/>
        <v>0</v>
      </c>
      <c r="AZ8" s="54"/>
      <c r="BA8" s="54"/>
      <c r="BB8" s="21">
        <f t="shared" si="25"/>
        <v>0</v>
      </c>
      <c r="BC8" s="54"/>
      <c r="BD8" s="54"/>
      <c r="BE8" s="21">
        <f t="shared" si="26"/>
        <v>0</v>
      </c>
      <c r="BF8" s="55"/>
      <c r="BG8" s="55"/>
      <c r="BH8" s="21">
        <f t="shared" si="27"/>
        <v>0</v>
      </c>
      <c r="BI8" s="55"/>
      <c r="BJ8" s="55"/>
      <c r="BK8" s="21">
        <f t="shared" si="28"/>
        <v>0</v>
      </c>
      <c r="BL8" s="55"/>
      <c r="BM8" s="55"/>
      <c r="BN8" s="21">
        <f t="shared" si="29"/>
        <v>0</v>
      </c>
      <c r="BO8" s="55"/>
      <c r="BP8" s="55"/>
      <c r="BQ8" s="21">
        <f t="shared" si="30"/>
        <v>0</v>
      </c>
      <c r="BR8" s="55"/>
      <c r="BS8" s="21">
        <f t="shared" si="31"/>
        <v>0</v>
      </c>
      <c r="BT8" s="56">
        <v>0</v>
      </c>
      <c r="BU8" s="56"/>
      <c r="BV8" s="21">
        <f t="shared" si="32"/>
        <v>0</v>
      </c>
      <c r="BW8" s="77">
        <f t="shared" si="33"/>
        <v>0</v>
      </c>
      <c r="BX8" s="55"/>
      <c r="BY8" s="21">
        <f t="shared" si="34"/>
        <v>0</v>
      </c>
      <c r="BZ8" s="55"/>
      <c r="CA8" s="55"/>
      <c r="CB8" s="21">
        <f t="shared" si="35"/>
        <v>0</v>
      </c>
      <c r="CC8" s="54"/>
      <c r="CD8" s="54"/>
      <c r="CE8" s="21">
        <f t="shared" si="36"/>
        <v>0</v>
      </c>
      <c r="CF8" s="21"/>
      <c r="CG8" s="21"/>
      <c r="CH8" s="21">
        <f t="shared" si="37"/>
        <v>0</v>
      </c>
      <c r="CI8" s="25">
        <f t="shared" si="38"/>
        <v>0</v>
      </c>
      <c r="CJ8" s="54"/>
      <c r="CK8" s="21">
        <f t="shared" si="39"/>
        <v>0</v>
      </c>
      <c r="CL8" s="55"/>
      <c r="CM8" s="55"/>
      <c r="CN8" s="60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21">
        <f t="shared" si="40"/>
        <v>0</v>
      </c>
      <c r="CZ8" s="56"/>
      <c r="DA8" s="56"/>
      <c r="DB8" s="56"/>
      <c r="DC8" s="56"/>
      <c r="DD8" s="61">
        <f t="shared" si="41"/>
        <v>0</v>
      </c>
      <c r="DE8" s="21">
        <f t="shared" si="42"/>
        <v>0</v>
      </c>
      <c r="DF8" s="55">
        <v>13.94</v>
      </c>
      <c r="DG8" s="55"/>
      <c r="DH8" s="55"/>
      <c r="DI8" s="55"/>
      <c r="DJ8" s="104"/>
      <c r="DK8" s="53"/>
      <c r="DM8" s="58">
        <f t="shared" si="43"/>
        <v>636.92902221311988</v>
      </c>
      <c r="DN8" s="58">
        <f t="shared" si="44"/>
        <v>333.75</v>
      </c>
      <c r="DO8" s="21">
        <f t="shared" si="45"/>
        <v>0.52399873197853031</v>
      </c>
      <c r="DP8" s="62">
        <f t="shared" si="46"/>
        <v>1.0736770597241976</v>
      </c>
      <c r="DQ8" s="7" t="s">
        <v>130</v>
      </c>
      <c r="DR8" s="107">
        <f t="shared" si="47"/>
        <v>0</v>
      </c>
    </row>
    <row r="9" spans="1:122" ht="12.95" hidden="1" customHeight="1" x14ac:dyDescent="0.2">
      <c r="A9" s="53" t="s">
        <v>132</v>
      </c>
      <c r="B9" s="54">
        <v>2</v>
      </c>
      <c r="C9" s="92" t="e">
        <f t="shared" si="0"/>
        <v>#DIV/0!</v>
      </c>
      <c r="D9" s="92" t="e">
        <f t="shared" si="1"/>
        <v>#DIV/0!</v>
      </c>
      <c r="E9" s="92">
        <f>VLOOKUP(A9,[3]TRTOTAL!$A$7:$D$313,3,FALSE)</f>
        <v>125.82038674208202</v>
      </c>
      <c r="F9" s="92">
        <f>VLOOKUP(A9,[3]TRTOTAL!$A$7:$D$313,4,FALSE)</f>
        <v>117.72487923110828</v>
      </c>
      <c r="G9" s="92" t="e">
        <f t="shared" si="48"/>
        <v>#DIV/0!</v>
      </c>
      <c r="H9" s="92" t="e">
        <f t="shared" si="49"/>
        <v>#DIV/0!</v>
      </c>
      <c r="I9" s="54">
        <v>5.3</v>
      </c>
      <c r="J9" s="56">
        <v>5.2</v>
      </c>
      <c r="K9" s="54">
        <v>2.35</v>
      </c>
      <c r="L9" s="57">
        <v>2</v>
      </c>
      <c r="M9" s="57">
        <v>160</v>
      </c>
      <c r="N9" s="57"/>
      <c r="O9" s="18" t="s">
        <v>133</v>
      </c>
      <c r="P9" s="24">
        <f t="shared" si="2"/>
        <v>12</v>
      </c>
      <c r="Q9" s="24">
        <f t="shared" si="3"/>
        <v>7.7</v>
      </c>
      <c r="R9" s="24">
        <f t="shared" si="4"/>
        <v>4</v>
      </c>
      <c r="S9" s="87"/>
      <c r="T9" s="21">
        <f t="shared" si="5"/>
        <v>4</v>
      </c>
      <c r="U9" s="21"/>
      <c r="V9" s="24">
        <f t="shared" si="6"/>
        <v>2.31</v>
      </c>
      <c r="W9" s="24">
        <f t="shared" si="7"/>
        <v>2.4700000000000002</v>
      </c>
      <c r="X9" s="24">
        <f t="shared" si="8"/>
        <v>1.9669229130128338</v>
      </c>
      <c r="Y9" s="25" t="e">
        <f t="shared" si="9"/>
        <v>#DIV/0!</v>
      </c>
      <c r="Z9" s="24" t="e">
        <f t="shared" si="10"/>
        <v>#DIV/0!</v>
      </c>
      <c r="AA9" s="21">
        <f t="shared" si="11"/>
        <v>0</v>
      </c>
      <c r="AB9" s="24">
        <f t="shared" si="12"/>
        <v>3.6</v>
      </c>
      <c r="AC9" s="24" t="e">
        <f t="shared" si="13"/>
        <v>#DIV/0!</v>
      </c>
      <c r="AD9" s="58">
        <f t="shared" si="14"/>
        <v>310</v>
      </c>
      <c r="AE9" s="58">
        <f t="shared" si="15"/>
        <v>316</v>
      </c>
      <c r="AF9" s="21">
        <f t="shared" si="16"/>
        <v>3.15</v>
      </c>
      <c r="AG9" s="77">
        <f t="shared" si="17"/>
        <v>0</v>
      </c>
      <c r="AH9" s="114">
        <f t="shared" si="50"/>
        <v>1.04</v>
      </c>
      <c r="AI9" s="59" t="e">
        <f t="shared" si="18"/>
        <v>#DIV/0!</v>
      </c>
      <c r="AJ9" s="59" t="e">
        <f t="shared" si="19"/>
        <v>#DIV/0!</v>
      </c>
      <c r="AK9" s="55"/>
      <c r="AL9" s="55"/>
      <c r="AM9" s="21">
        <f t="shared" si="20"/>
        <v>0</v>
      </c>
      <c r="AN9" s="54">
        <v>7.7</v>
      </c>
      <c r="AO9" s="55"/>
      <c r="AP9" s="21">
        <f t="shared" si="21"/>
        <v>0</v>
      </c>
      <c r="AQ9" s="55"/>
      <c r="AR9" s="55"/>
      <c r="AS9" s="21">
        <f t="shared" si="22"/>
        <v>0</v>
      </c>
      <c r="AT9" s="54"/>
      <c r="AU9" s="54"/>
      <c r="AV9" s="21">
        <f t="shared" si="23"/>
        <v>0</v>
      </c>
      <c r="AW9" s="54"/>
      <c r="AX9" s="54"/>
      <c r="AY9" s="21">
        <f t="shared" si="24"/>
        <v>0</v>
      </c>
      <c r="AZ9" s="54"/>
      <c r="BA9" s="54"/>
      <c r="BB9" s="21">
        <f t="shared" si="25"/>
        <v>0</v>
      </c>
      <c r="BC9" s="54"/>
      <c r="BD9" s="54"/>
      <c r="BE9" s="21">
        <f t="shared" si="26"/>
        <v>0</v>
      </c>
      <c r="BF9" s="55"/>
      <c r="BG9" s="55"/>
      <c r="BH9" s="21">
        <f t="shared" si="27"/>
        <v>0</v>
      </c>
      <c r="BI9" s="55"/>
      <c r="BJ9" s="55"/>
      <c r="BK9" s="21">
        <f t="shared" si="28"/>
        <v>0</v>
      </c>
      <c r="BL9" s="55"/>
      <c r="BM9" s="55"/>
      <c r="BN9" s="21">
        <f t="shared" si="29"/>
        <v>0</v>
      </c>
      <c r="BO9" s="55"/>
      <c r="BP9" s="55"/>
      <c r="BQ9" s="21">
        <f t="shared" si="30"/>
        <v>0</v>
      </c>
      <c r="BR9" s="55"/>
      <c r="BS9" s="21">
        <f t="shared" si="31"/>
        <v>0</v>
      </c>
      <c r="BT9" s="56">
        <v>0</v>
      </c>
      <c r="BU9" s="56"/>
      <c r="BV9" s="21">
        <f t="shared" si="32"/>
        <v>0</v>
      </c>
      <c r="BW9" s="77">
        <f t="shared" si="33"/>
        <v>0</v>
      </c>
      <c r="BX9" s="55"/>
      <c r="BY9" s="21">
        <f t="shared" si="34"/>
        <v>0</v>
      </c>
      <c r="BZ9" s="55"/>
      <c r="CA9" s="55"/>
      <c r="CB9" s="21">
        <f t="shared" si="35"/>
        <v>0</v>
      </c>
      <c r="CC9" s="54"/>
      <c r="CD9" s="54"/>
      <c r="CE9" s="21">
        <f t="shared" si="36"/>
        <v>0</v>
      </c>
      <c r="CF9" s="21"/>
      <c r="CG9" s="21"/>
      <c r="CH9" s="21">
        <f t="shared" si="37"/>
        <v>0</v>
      </c>
      <c r="CI9" s="25">
        <f t="shared" si="38"/>
        <v>4</v>
      </c>
      <c r="CJ9" s="54"/>
      <c r="CK9" s="21">
        <f t="shared" si="39"/>
        <v>0</v>
      </c>
      <c r="CL9" s="55"/>
      <c r="CM9" s="55"/>
      <c r="CN9" s="60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21">
        <f t="shared" si="40"/>
        <v>0</v>
      </c>
      <c r="CZ9" s="56"/>
      <c r="DA9" s="56"/>
      <c r="DB9" s="56"/>
      <c r="DC9" s="56"/>
      <c r="DD9" s="61">
        <f t="shared" si="41"/>
        <v>0</v>
      </c>
      <c r="DE9" s="21">
        <f t="shared" si="42"/>
        <v>0</v>
      </c>
      <c r="DF9" s="55">
        <v>12</v>
      </c>
      <c r="DG9" s="55">
        <v>4</v>
      </c>
      <c r="DH9" s="55">
        <v>4</v>
      </c>
      <c r="DI9" s="55"/>
      <c r="DJ9" s="104"/>
      <c r="DK9" s="53"/>
      <c r="DM9" s="58" t="e">
        <f t="shared" si="43"/>
        <v>#DIV/0!</v>
      </c>
      <c r="DN9" s="58">
        <f t="shared" si="44"/>
        <v>690.5</v>
      </c>
      <c r="DO9" s="21" t="e">
        <f t="shared" si="45"/>
        <v>#DIV/0!</v>
      </c>
      <c r="DP9" s="62" t="e">
        <f t="shared" si="46"/>
        <v>#DIV/0!</v>
      </c>
      <c r="DQ9" s="7">
        <v>0</v>
      </c>
      <c r="DR9" s="107" t="e">
        <f t="shared" si="47"/>
        <v>#DIV/0!</v>
      </c>
    </row>
    <row r="10" spans="1:122" ht="12.75" customHeight="1" x14ac:dyDescent="0.2">
      <c r="A10" s="53" t="s">
        <v>134</v>
      </c>
      <c r="B10" s="54">
        <v>2</v>
      </c>
      <c r="C10" s="92">
        <f t="shared" si="0"/>
        <v>104.34078404911891</v>
      </c>
      <c r="D10" s="92">
        <f t="shared" si="1"/>
        <v>99.922063253373238</v>
      </c>
      <c r="E10" s="92">
        <f>VLOOKUP(A10,[3]TRTOTAL!$A$7:$D$313,3,FALSE)</f>
        <v>104.91742812487391</v>
      </c>
      <c r="F10" s="92">
        <f>VLOOKUP(A10,[3]TRTOTAL!$A$7:$D$313,4,FALSE)</f>
        <v>100.33161247468</v>
      </c>
      <c r="G10" s="92">
        <f t="shared" si="48"/>
        <v>-0.57664407575499865</v>
      </c>
      <c r="H10" s="92">
        <f t="shared" si="49"/>
        <v>-0.40954922130676152</v>
      </c>
      <c r="I10" s="54">
        <v>5.52</v>
      </c>
      <c r="J10" s="56">
        <v>5.52</v>
      </c>
      <c r="K10" s="54">
        <v>2.6</v>
      </c>
      <c r="L10" s="57">
        <v>2</v>
      </c>
      <c r="M10" s="57"/>
      <c r="N10" s="57">
        <v>180</v>
      </c>
      <c r="O10" s="87"/>
      <c r="P10" s="24">
        <f t="shared" si="2"/>
        <v>17</v>
      </c>
      <c r="Q10" s="24">
        <f t="shared" si="3"/>
        <v>9.0500000000000007</v>
      </c>
      <c r="R10" s="24">
        <f t="shared" si="4"/>
        <v>4.3</v>
      </c>
      <c r="S10" s="87">
        <v>9.0500000000000007</v>
      </c>
      <c r="T10" s="21">
        <f t="shared" si="5"/>
        <v>5.5</v>
      </c>
      <c r="U10" s="21">
        <v>2.1</v>
      </c>
      <c r="V10" s="24">
        <f t="shared" si="6"/>
        <v>2.1</v>
      </c>
      <c r="W10" s="24">
        <f t="shared" si="7"/>
        <v>2.2600000000000002</v>
      </c>
      <c r="X10" s="24">
        <f t="shared" si="8"/>
        <v>3.3283734043386315</v>
      </c>
      <c r="Y10" s="25">
        <f t="shared" si="9"/>
        <v>1</v>
      </c>
      <c r="Z10" s="24">
        <f t="shared" si="10"/>
        <v>16.337791034816128</v>
      </c>
      <c r="AA10" s="21">
        <f t="shared" si="11"/>
        <v>0</v>
      </c>
      <c r="AB10" s="24">
        <f t="shared" si="12"/>
        <v>3.87</v>
      </c>
      <c r="AC10" s="24">
        <f t="shared" si="13"/>
        <v>22.854691034816128</v>
      </c>
      <c r="AD10" s="58">
        <f t="shared" si="14"/>
        <v>324</v>
      </c>
      <c r="AE10" s="58">
        <f t="shared" si="15"/>
        <v>330</v>
      </c>
      <c r="AF10" s="21">
        <f t="shared" si="16"/>
        <v>3.15</v>
      </c>
      <c r="AG10" s="77">
        <f t="shared" si="17"/>
        <v>0</v>
      </c>
      <c r="AH10" s="114">
        <f t="shared" si="50"/>
        <v>1</v>
      </c>
      <c r="AI10" s="59">
        <f t="shared" si="18"/>
        <v>102.43303194979761</v>
      </c>
      <c r="AJ10" s="59">
        <f t="shared" si="19"/>
        <v>98.095102418476685</v>
      </c>
      <c r="AK10" s="55"/>
      <c r="AL10" s="55"/>
      <c r="AM10" s="21">
        <f t="shared" si="20"/>
        <v>0</v>
      </c>
      <c r="AN10" s="54">
        <v>9.0500000000000007</v>
      </c>
      <c r="AO10" s="55"/>
      <c r="AP10" s="21">
        <f t="shared" si="21"/>
        <v>0</v>
      </c>
      <c r="AQ10" s="55"/>
      <c r="AR10" s="55"/>
      <c r="AS10" s="21">
        <f t="shared" si="22"/>
        <v>0</v>
      </c>
      <c r="AT10" s="54"/>
      <c r="AU10" s="54"/>
      <c r="AV10" s="21">
        <f t="shared" si="23"/>
        <v>0</v>
      </c>
      <c r="AW10" s="54"/>
      <c r="AX10" s="54"/>
      <c r="AY10" s="21">
        <f t="shared" si="24"/>
        <v>0</v>
      </c>
      <c r="AZ10" s="54"/>
      <c r="BA10" s="54"/>
      <c r="BB10" s="21">
        <f t="shared" si="25"/>
        <v>0</v>
      </c>
      <c r="BC10" s="54"/>
      <c r="BD10" s="54"/>
      <c r="BE10" s="21">
        <f t="shared" si="26"/>
        <v>0</v>
      </c>
      <c r="BF10" s="55"/>
      <c r="BG10" s="55"/>
      <c r="BH10" s="21">
        <f t="shared" si="27"/>
        <v>0</v>
      </c>
      <c r="BI10" s="55"/>
      <c r="BJ10" s="55"/>
      <c r="BK10" s="21">
        <f t="shared" si="28"/>
        <v>0</v>
      </c>
      <c r="BL10" s="55"/>
      <c r="BM10" s="55"/>
      <c r="BN10" s="21">
        <f t="shared" si="29"/>
        <v>0</v>
      </c>
      <c r="BO10" s="55"/>
      <c r="BP10" s="55"/>
      <c r="BQ10" s="21">
        <f t="shared" si="30"/>
        <v>0</v>
      </c>
      <c r="BR10" s="55"/>
      <c r="BS10" s="21">
        <f t="shared" si="31"/>
        <v>0</v>
      </c>
      <c r="BT10" s="56">
        <v>0</v>
      </c>
      <c r="BU10" s="56"/>
      <c r="BV10" s="21">
        <f t="shared" si="32"/>
        <v>0</v>
      </c>
      <c r="BW10" s="77">
        <f t="shared" si="33"/>
        <v>0</v>
      </c>
      <c r="BX10" s="55"/>
      <c r="BY10" s="21">
        <f t="shared" si="34"/>
        <v>0</v>
      </c>
      <c r="BZ10" s="55"/>
      <c r="CA10" s="55"/>
      <c r="CB10" s="21">
        <f t="shared" si="35"/>
        <v>0</v>
      </c>
      <c r="CC10" s="55"/>
      <c r="CD10" s="55"/>
      <c r="CE10" s="21">
        <f t="shared" si="36"/>
        <v>0</v>
      </c>
      <c r="CF10" s="21"/>
      <c r="CG10" s="21"/>
      <c r="CH10" s="21">
        <f t="shared" si="37"/>
        <v>0</v>
      </c>
      <c r="CI10" s="25">
        <f t="shared" si="38"/>
        <v>4.3</v>
      </c>
      <c r="CJ10" s="54"/>
      <c r="CK10" s="21">
        <f t="shared" si="39"/>
        <v>0</v>
      </c>
      <c r="CL10" s="55"/>
      <c r="CM10" s="55"/>
      <c r="CN10" s="60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21">
        <f t="shared" si="40"/>
        <v>0</v>
      </c>
      <c r="CZ10" s="56"/>
      <c r="DA10" s="56"/>
      <c r="DB10" s="56"/>
      <c r="DC10" s="56"/>
      <c r="DD10" s="61">
        <f t="shared" si="41"/>
        <v>0</v>
      </c>
      <c r="DE10" s="21">
        <f t="shared" si="42"/>
        <v>21</v>
      </c>
      <c r="DF10" s="55">
        <v>17</v>
      </c>
      <c r="DG10" s="55">
        <v>4.3</v>
      </c>
      <c r="DH10" s="55">
        <v>5.5</v>
      </c>
      <c r="DI10" s="55">
        <v>21</v>
      </c>
      <c r="DJ10" s="104"/>
      <c r="DK10" s="53" t="s">
        <v>129</v>
      </c>
      <c r="DM10" s="58">
        <f t="shared" si="43"/>
        <v>906.14419392000002</v>
      </c>
      <c r="DN10" s="58">
        <f t="shared" si="44"/>
        <v>766.2</v>
      </c>
      <c r="DO10" s="21">
        <f t="shared" si="45"/>
        <v>0.8455607894869378</v>
      </c>
      <c r="DP10" s="62">
        <f t="shared" si="46"/>
        <v>1.0186243837852647</v>
      </c>
      <c r="DQ10" s="7" t="s">
        <v>130</v>
      </c>
      <c r="DR10" s="107" t="str">
        <f t="shared" si="47"/>
        <v>yes</v>
      </c>
    </row>
    <row r="11" spans="1:122" ht="12.75" customHeight="1" x14ac:dyDescent="0.2">
      <c r="A11" s="53" t="s">
        <v>135</v>
      </c>
      <c r="B11" s="54">
        <v>2</v>
      </c>
      <c r="C11" s="92">
        <f t="shared" si="0"/>
        <v>106.75341311951644</v>
      </c>
      <c r="D11" s="92">
        <f t="shared" si="1"/>
        <v>102.45065043176872</v>
      </c>
      <c r="E11" s="92">
        <f>VLOOKUP(A11,[3]TRTOTAL!$A$7:$D$313,3,FALSE)</f>
        <v>106.75341311951644</v>
      </c>
      <c r="F11" s="92">
        <f>VLOOKUP(A11,[3]TRTOTAL!$A$7:$D$313,4,FALSE)</f>
        <v>102.45065043176872</v>
      </c>
      <c r="G11" s="92">
        <f t="shared" si="48"/>
        <v>0</v>
      </c>
      <c r="H11" s="92">
        <f t="shared" si="49"/>
        <v>0</v>
      </c>
      <c r="I11" s="54">
        <v>4.95</v>
      </c>
      <c r="J11" s="56">
        <v>4.95</v>
      </c>
      <c r="K11" s="54">
        <v>2.34</v>
      </c>
      <c r="L11" s="57">
        <v>2</v>
      </c>
      <c r="M11" s="57">
        <v>102</v>
      </c>
      <c r="N11" s="57"/>
      <c r="O11" s="87"/>
      <c r="P11" s="24">
        <f t="shared" si="2"/>
        <v>14.658050000000001</v>
      </c>
      <c r="Q11" s="24">
        <f t="shared" si="3"/>
        <v>8.02</v>
      </c>
      <c r="R11" s="24">
        <f t="shared" si="4"/>
        <v>4.1758966666666657</v>
      </c>
      <c r="S11" s="87">
        <v>8.5</v>
      </c>
      <c r="T11" s="21">
        <f t="shared" si="5"/>
        <v>4.9114999999999993</v>
      </c>
      <c r="U11" s="21"/>
      <c r="V11" s="24">
        <f t="shared" si="6"/>
        <v>2.09</v>
      </c>
      <c r="W11" s="24">
        <f t="shared" si="7"/>
        <v>2.2624999999999997</v>
      </c>
      <c r="X11" s="24">
        <f t="shared" si="8"/>
        <v>2.8635121028051658</v>
      </c>
      <c r="Y11" s="25">
        <f t="shared" si="9"/>
        <v>1</v>
      </c>
      <c r="Z11" s="24">
        <f t="shared" si="10"/>
        <v>13.465444939019457</v>
      </c>
      <c r="AA11" s="21">
        <f t="shared" si="11"/>
        <v>1.4795552248677248</v>
      </c>
      <c r="AB11" s="24">
        <f t="shared" si="12"/>
        <v>3.381595009171444</v>
      </c>
      <c r="AC11" s="24">
        <f t="shared" si="13"/>
        <v>19.032432596998614</v>
      </c>
      <c r="AD11" s="58">
        <f t="shared" si="14"/>
        <v>252</v>
      </c>
      <c r="AE11" s="58">
        <f t="shared" si="15"/>
        <v>258</v>
      </c>
      <c r="AF11" s="21">
        <f t="shared" si="16"/>
        <v>2.625</v>
      </c>
      <c r="AG11" s="77">
        <f t="shared" si="17"/>
        <v>0</v>
      </c>
      <c r="AH11" s="114">
        <f t="shared" si="50"/>
        <v>1</v>
      </c>
      <c r="AI11" s="59">
        <f t="shared" si="18"/>
        <v>104.89778877571368</v>
      </c>
      <c r="AJ11" s="59">
        <f t="shared" si="19"/>
        <v>100.66981818084314</v>
      </c>
      <c r="AK11" s="55">
        <v>8.02</v>
      </c>
      <c r="AL11" s="55">
        <v>2.09</v>
      </c>
      <c r="AM11" s="21">
        <f t="shared" si="20"/>
        <v>8.3808999999999987</v>
      </c>
      <c r="AN11" s="54">
        <v>8.02</v>
      </c>
      <c r="AO11" s="55">
        <v>0.13</v>
      </c>
      <c r="AP11" s="21">
        <f t="shared" si="21"/>
        <v>0.69506666666666661</v>
      </c>
      <c r="AQ11" s="55">
        <v>2.13</v>
      </c>
      <c r="AR11" s="55">
        <v>0.09</v>
      </c>
      <c r="AS11" s="21">
        <f t="shared" si="22"/>
        <v>0.1278</v>
      </c>
      <c r="AT11" s="54">
        <v>7.86</v>
      </c>
      <c r="AU11" s="54">
        <v>0.69</v>
      </c>
      <c r="AV11" s="21">
        <f t="shared" si="23"/>
        <v>2.7117</v>
      </c>
      <c r="AW11" s="54"/>
      <c r="AX11" s="54"/>
      <c r="AY11" s="21">
        <f t="shared" si="24"/>
        <v>0</v>
      </c>
      <c r="AZ11" s="54">
        <v>6.14</v>
      </c>
      <c r="BA11" s="54">
        <v>0.22</v>
      </c>
      <c r="BB11" s="21">
        <f t="shared" si="25"/>
        <v>0.9005333333333333</v>
      </c>
      <c r="BC11" s="54"/>
      <c r="BD11" s="54"/>
      <c r="BE11" s="21">
        <f t="shared" si="26"/>
        <v>0</v>
      </c>
      <c r="BF11" s="55">
        <v>1.99</v>
      </c>
      <c r="BG11" s="55">
        <v>0.2</v>
      </c>
      <c r="BH11" s="21">
        <f t="shared" si="27"/>
        <v>0.19900000000000001</v>
      </c>
      <c r="BI11" s="55">
        <v>1.02</v>
      </c>
      <c r="BJ11" s="55">
        <v>0.26</v>
      </c>
      <c r="BK11" s="21">
        <f t="shared" si="28"/>
        <v>0.17679999999999998</v>
      </c>
      <c r="BL11" s="55"/>
      <c r="BM11" s="55"/>
      <c r="BN11" s="21">
        <f t="shared" si="29"/>
        <v>0</v>
      </c>
      <c r="BO11" s="55"/>
      <c r="BP11" s="55"/>
      <c r="BQ11" s="21">
        <f t="shared" si="30"/>
        <v>0</v>
      </c>
      <c r="BR11" s="55"/>
      <c r="BS11" s="21">
        <f t="shared" si="31"/>
        <v>13.191800000000001</v>
      </c>
      <c r="BT11" s="56">
        <v>5.2249999999999996</v>
      </c>
      <c r="BU11" s="56">
        <v>1.68</v>
      </c>
      <c r="BV11" s="21">
        <f t="shared" si="32"/>
        <v>4.3889999999999993</v>
      </c>
      <c r="BW11" s="77">
        <f t="shared" si="33"/>
        <v>5.2249999999999996</v>
      </c>
      <c r="BX11" s="55">
        <v>-5.0000000000000001E-3</v>
      </c>
      <c r="BY11" s="21">
        <f t="shared" si="34"/>
        <v>-1.7416666666666667E-2</v>
      </c>
      <c r="BZ11" s="55">
        <v>5.1749999999999998</v>
      </c>
      <c r="CA11" s="55">
        <v>-7.0000000000000007E-2</v>
      </c>
      <c r="CB11" s="21">
        <f t="shared" si="35"/>
        <v>-0.24150000000000002</v>
      </c>
      <c r="CC11" s="55">
        <v>1.718</v>
      </c>
      <c r="CD11" s="55">
        <v>0.04</v>
      </c>
      <c r="CE11" s="21">
        <f t="shared" si="36"/>
        <v>4.5813333333333338E-2</v>
      </c>
      <c r="CF11" s="21"/>
      <c r="CG11" s="21"/>
      <c r="CH11" s="21">
        <f t="shared" si="37"/>
        <v>0</v>
      </c>
      <c r="CI11" s="25">
        <f t="shared" si="38"/>
        <v>4.1758966666666657</v>
      </c>
      <c r="CJ11" s="54">
        <v>0.34499999999999997</v>
      </c>
      <c r="CK11" s="21">
        <f t="shared" si="39"/>
        <v>1.4662499999999998</v>
      </c>
      <c r="CL11" s="55">
        <v>11</v>
      </c>
      <c r="CM11" s="55" t="s">
        <v>136</v>
      </c>
      <c r="CN11" s="60">
        <v>36315</v>
      </c>
      <c r="CO11" s="55" t="s">
        <v>137</v>
      </c>
      <c r="CP11" s="55" t="s">
        <v>138</v>
      </c>
      <c r="CQ11" s="55" t="s">
        <v>138</v>
      </c>
      <c r="CR11" s="55"/>
      <c r="CS11" s="55"/>
      <c r="CT11" s="55"/>
      <c r="CU11" s="55"/>
      <c r="CV11" s="55"/>
      <c r="CW11" s="55"/>
      <c r="CX11" s="55"/>
      <c r="CY11" s="21">
        <f t="shared" si="40"/>
        <v>0</v>
      </c>
      <c r="CZ11" s="56"/>
      <c r="DA11" s="56"/>
      <c r="DB11" s="56"/>
      <c r="DC11" s="56"/>
      <c r="DD11" s="61">
        <f t="shared" si="41"/>
        <v>0</v>
      </c>
      <c r="DE11" s="21">
        <f t="shared" si="42"/>
        <v>17.5</v>
      </c>
      <c r="DF11" s="55"/>
      <c r="DG11" s="55"/>
      <c r="DH11" s="55"/>
      <c r="DI11" s="55">
        <v>17.5</v>
      </c>
      <c r="DJ11" s="104"/>
      <c r="DK11" s="53"/>
      <c r="DM11" s="58">
        <f t="shared" si="43"/>
        <v>727.54694196039759</v>
      </c>
      <c r="DN11" s="58">
        <f t="shared" si="44"/>
        <v>620.33999999999992</v>
      </c>
      <c r="DO11" s="21">
        <f t="shared" si="45"/>
        <v>0.8526460139169505</v>
      </c>
      <c r="DP11" s="62">
        <f t="shared" si="46"/>
        <v>1.0176898327930473</v>
      </c>
      <c r="DQ11" s="7" t="s">
        <v>130</v>
      </c>
      <c r="DR11" s="107">
        <f t="shared" si="47"/>
        <v>0</v>
      </c>
    </row>
    <row r="12" spans="1:122" ht="12.75" customHeight="1" x14ac:dyDescent="0.2">
      <c r="A12" s="53" t="s">
        <v>573</v>
      </c>
      <c r="B12" s="54">
        <v>1</v>
      </c>
      <c r="C12" s="92">
        <f t="shared" si="0"/>
        <v>107.97127544465374</v>
      </c>
      <c r="D12" s="92">
        <f t="shared" si="1"/>
        <v>102.67124737113532</v>
      </c>
      <c r="E12" s="92">
        <f>VLOOKUP(A12,[3]TRTOTAL!$A$7:$D$313,3,FALSE)</f>
        <v>107.97127544465374</v>
      </c>
      <c r="F12" s="92">
        <f>VLOOKUP(A12,[3]TRTOTAL!$A$7:$D$313,4,FALSE)</f>
        <v>102.67124737113532</v>
      </c>
      <c r="G12" s="92">
        <f t="shared" si="48"/>
        <v>0</v>
      </c>
      <c r="H12" s="92">
        <f t="shared" si="49"/>
        <v>0</v>
      </c>
      <c r="I12" s="54">
        <v>4.95</v>
      </c>
      <c r="J12" s="56">
        <v>4.95</v>
      </c>
      <c r="K12" s="54">
        <v>2.34</v>
      </c>
      <c r="L12" s="57">
        <v>1</v>
      </c>
      <c r="M12" s="57">
        <v>100</v>
      </c>
      <c r="N12" s="57"/>
      <c r="O12" s="87"/>
      <c r="P12" s="24">
        <f t="shared" si="2"/>
        <v>14.658050000000001</v>
      </c>
      <c r="Q12" s="24">
        <f t="shared" si="3"/>
        <v>8.02</v>
      </c>
      <c r="R12" s="24">
        <f t="shared" si="4"/>
        <v>0</v>
      </c>
      <c r="S12" s="87">
        <v>8.5</v>
      </c>
      <c r="T12" s="21">
        <f t="shared" si="5"/>
        <v>0</v>
      </c>
      <c r="U12" s="21"/>
      <c r="V12" s="24">
        <f t="shared" si="6"/>
        <v>2.09</v>
      </c>
      <c r="W12" s="24">
        <f t="shared" si="7"/>
        <v>2.2624999999999997</v>
      </c>
      <c r="X12" s="24">
        <f t="shared" si="8"/>
        <v>2.8635121028051658</v>
      </c>
      <c r="Y12" s="25">
        <f t="shared" si="9"/>
        <v>1</v>
      </c>
      <c r="Z12" s="24">
        <f t="shared" si="10"/>
        <v>13.465444939019457</v>
      </c>
      <c r="AA12" s="21">
        <f t="shared" si="11"/>
        <v>0</v>
      </c>
      <c r="AB12" s="24">
        <f t="shared" si="12"/>
        <v>0</v>
      </c>
      <c r="AC12" s="24">
        <f t="shared" si="13"/>
        <v>16.090444939019456</v>
      </c>
      <c r="AD12" s="58">
        <f t="shared" si="14"/>
        <v>175</v>
      </c>
      <c r="AE12" s="58">
        <f t="shared" si="15"/>
        <v>181</v>
      </c>
      <c r="AF12" s="21">
        <f t="shared" si="16"/>
        <v>2.625</v>
      </c>
      <c r="AG12" s="77">
        <f t="shared" si="17"/>
        <v>0</v>
      </c>
      <c r="AH12" s="114">
        <f t="shared" si="50"/>
        <v>1</v>
      </c>
      <c r="AI12" s="59">
        <f t="shared" si="18"/>
        <v>101.91067601100886</v>
      </c>
      <c r="AJ12" s="59">
        <f t="shared" si="19"/>
        <v>95.948660340266812</v>
      </c>
      <c r="AK12" s="55">
        <v>8.02</v>
      </c>
      <c r="AL12" s="55">
        <v>2.09</v>
      </c>
      <c r="AM12" s="21">
        <f t="shared" si="20"/>
        <v>8.3808999999999987</v>
      </c>
      <c r="AN12" s="54">
        <v>8.02</v>
      </c>
      <c r="AO12" s="55">
        <v>0.13</v>
      </c>
      <c r="AP12" s="21">
        <f t="shared" si="21"/>
        <v>0.69506666666666661</v>
      </c>
      <c r="AQ12" s="55">
        <v>2.13</v>
      </c>
      <c r="AR12" s="55">
        <v>0.09</v>
      </c>
      <c r="AS12" s="21">
        <f t="shared" si="22"/>
        <v>0.1278</v>
      </c>
      <c r="AT12" s="54">
        <v>7.86</v>
      </c>
      <c r="AU12" s="54">
        <v>0.69</v>
      </c>
      <c r="AV12" s="21">
        <f t="shared" si="23"/>
        <v>2.7117</v>
      </c>
      <c r="AW12" s="54"/>
      <c r="AX12" s="54"/>
      <c r="AY12" s="21">
        <f t="shared" si="24"/>
        <v>0</v>
      </c>
      <c r="AZ12" s="54">
        <v>6.14</v>
      </c>
      <c r="BA12" s="54">
        <v>0.22</v>
      </c>
      <c r="BB12" s="21">
        <f t="shared" si="25"/>
        <v>0.9005333333333333</v>
      </c>
      <c r="BC12" s="54"/>
      <c r="BD12" s="54"/>
      <c r="BE12" s="21">
        <f t="shared" si="26"/>
        <v>0</v>
      </c>
      <c r="BF12" s="55">
        <v>1.99</v>
      </c>
      <c r="BG12" s="55">
        <v>0.2</v>
      </c>
      <c r="BH12" s="21">
        <f t="shared" si="27"/>
        <v>0.19900000000000001</v>
      </c>
      <c r="BI12" s="55">
        <v>1.02</v>
      </c>
      <c r="BJ12" s="55">
        <v>0.26</v>
      </c>
      <c r="BK12" s="21">
        <f t="shared" si="28"/>
        <v>0.17679999999999998</v>
      </c>
      <c r="BL12" s="55"/>
      <c r="BM12" s="55"/>
      <c r="BN12" s="21">
        <f t="shared" si="29"/>
        <v>0</v>
      </c>
      <c r="BO12" s="55"/>
      <c r="BP12" s="55"/>
      <c r="BQ12" s="21">
        <f t="shared" si="30"/>
        <v>0</v>
      </c>
      <c r="BR12" s="55"/>
      <c r="BS12" s="21">
        <f t="shared" si="31"/>
        <v>13.191800000000001</v>
      </c>
      <c r="BT12" s="56">
        <v>0</v>
      </c>
      <c r="BU12" s="56"/>
      <c r="BV12" s="21">
        <f t="shared" si="32"/>
        <v>0</v>
      </c>
      <c r="BW12" s="77">
        <f t="shared" si="33"/>
        <v>0</v>
      </c>
      <c r="BX12" s="55"/>
      <c r="BY12" s="21">
        <f t="shared" si="34"/>
        <v>0</v>
      </c>
      <c r="BZ12" s="55"/>
      <c r="CA12" s="55"/>
      <c r="CB12" s="21">
        <f t="shared" si="35"/>
        <v>0</v>
      </c>
      <c r="CC12" s="54"/>
      <c r="CD12" s="54"/>
      <c r="CE12" s="21">
        <f t="shared" si="36"/>
        <v>0</v>
      </c>
      <c r="CF12" s="21"/>
      <c r="CG12" s="21"/>
      <c r="CH12" s="21">
        <f t="shared" si="37"/>
        <v>0</v>
      </c>
      <c r="CI12" s="25">
        <f t="shared" si="38"/>
        <v>0</v>
      </c>
      <c r="CJ12" s="54">
        <v>0.34499999999999997</v>
      </c>
      <c r="CK12" s="21">
        <f t="shared" si="39"/>
        <v>1.4662499999999998</v>
      </c>
      <c r="CL12" s="55"/>
      <c r="CM12" s="55"/>
      <c r="CN12" s="60"/>
      <c r="CO12" s="55"/>
      <c r="CP12" s="55" t="s">
        <v>138</v>
      </c>
      <c r="CQ12" s="55" t="s">
        <v>138</v>
      </c>
      <c r="CR12" s="55"/>
      <c r="CS12" s="55"/>
      <c r="CT12" s="55"/>
      <c r="CU12" s="55"/>
      <c r="CV12" s="55"/>
      <c r="CW12" s="55"/>
      <c r="CX12" s="55"/>
      <c r="CY12" s="21">
        <f t="shared" si="40"/>
        <v>0</v>
      </c>
      <c r="CZ12" s="56"/>
      <c r="DA12" s="56"/>
      <c r="DB12" s="56"/>
      <c r="DC12" s="56"/>
      <c r="DD12" s="61">
        <f t="shared" si="41"/>
        <v>0</v>
      </c>
      <c r="DE12" s="21">
        <f t="shared" si="42"/>
        <v>17.5</v>
      </c>
      <c r="DF12" s="55"/>
      <c r="DG12" s="55"/>
      <c r="DH12" s="55"/>
      <c r="DI12" s="55">
        <v>17.5</v>
      </c>
      <c r="DJ12" s="104"/>
      <c r="DK12" s="53"/>
      <c r="DM12" s="58">
        <f t="shared" si="43"/>
        <v>621.34822710428148</v>
      </c>
      <c r="DN12" s="58">
        <f t="shared" si="44"/>
        <v>367.5</v>
      </c>
      <c r="DO12" s="21">
        <f t="shared" si="45"/>
        <v>0.59145577949532335</v>
      </c>
      <c r="DP12" s="62">
        <f t="shared" si="46"/>
        <v>1.059469720650172</v>
      </c>
      <c r="DQ12" s="7" t="s">
        <v>130</v>
      </c>
      <c r="DR12" s="107">
        <f t="shared" si="47"/>
        <v>0</v>
      </c>
    </row>
    <row r="13" spans="1:122" ht="12.75" customHeight="1" x14ac:dyDescent="0.2">
      <c r="A13" s="53" t="s">
        <v>574</v>
      </c>
      <c r="B13" s="54">
        <v>1</v>
      </c>
      <c r="C13" s="92">
        <f t="shared" si="0"/>
        <v>107.07343880844896</v>
      </c>
      <c r="D13" s="92">
        <f t="shared" si="1"/>
        <v>102.06026988558934</v>
      </c>
      <c r="E13" s="92">
        <f>VLOOKUP(A13,[3]TRTOTAL!$A$7:$D$313,3,FALSE)</f>
        <v>107.07343880844896</v>
      </c>
      <c r="F13" s="92">
        <f>VLOOKUP(A13,[3]TRTOTAL!$A$7:$D$313,4,FALSE)</f>
        <v>102.06026988558934</v>
      </c>
      <c r="G13" s="92">
        <f t="shared" si="48"/>
        <v>0</v>
      </c>
      <c r="H13" s="92">
        <f t="shared" si="49"/>
        <v>0</v>
      </c>
      <c r="I13" s="54">
        <v>5</v>
      </c>
      <c r="J13" s="56">
        <v>5</v>
      </c>
      <c r="K13" s="54">
        <v>2.2999999999999998</v>
      </c>
      <c r="L13" s="57">
        <v>1</v>
      </c>
      <c r="M13" s="57"/>
      <c r="N13" s="57">
        <v>100</v>
      </c>
      <c r="O13" s="87"/>
      <c r="P13" s="24">
        <f t="shared" si="2"/>
        <v>14.933250000000001</v>
      </c>
      <c r="Q13" s="24">
        <f t="shared" si="3"/>
        <v>8.1300000000000008</v>
      </c>
      <c r="R13" s="24">
        <f t="shared" si="4"/>
        <v>0</v>
      </c>
      <c r="S13" s="87">
        <v>8.5</v>
      </c>
      <c r="T13" s="21">
        <f t="shared" si="5"/>
        <v>0</v>
      </c>
      <c r="U13" s="21"/>
      <c r="V13" s="24">
        <f t="shared" si="6"/>
        <v>2.1800000000000002</v>
      </c>
      <c r="W13" s="24">
        <f t="shared" si="7"/>
        <v>2.3475000000000001</v>
      </c>
      <c r="X13" s="24">
        <f t="shared" si="8"/>
        <v>2.7098367851054923</v>
      </c>
      <c r="Y13" s="25">
        <f t="shared" si="9"/>
        <v>1</v>
      </c>
      <c r="Z13" s="24">
        <f t="shared" si="10"/>
        <v>13.493110551141369</v>
      </c>
      <c r="AA13" s="21">
        <f t="shared" si="11"/>
        <v>0</v>
      </c>
      <c r="AB13" s="24">
        <f t="shared" si="12"/>
        <v>0</v>
      </c>
      <c r="AC13" s="24">
        <f t="shared" si="13"/>
        <v>16.043110551141368</v>
      </c>
      <c r="AD13" s="58">
        <f t="shared" si="14"/>
        <v>169</v>
      </c>
      <c r="AE13" s="58">
        <f t="shared" si="15"/>
        <v>175</v>
      </c>
      <c r="AF13" s="21">
        <f t="shared" si="16"/>
        <v>2.5499999999999998</v>
      </c>
      <c r="AG13" s="77">
        <f t="shared" si="17"/>
        <v>0</v>
      </c>
      <c r="AH13" s="114">
        <f t="shared" si="50"/>
        <v>1</v>
      </c>
      <c r="AI13" s="59">
        <f t="shared" si="18"/>
        <v>100.37591238389155</v>
      </c>
      <c r="AJ13" s="59">
        <f t="shared" si="19"/>
        <v>94.729030747637381</v>
      </c>
      <c r="AK13" s="55">
        <v>8.1300000000000008</v>
      </c>
      <c r="AL13" s="55">
        <v>2.1800000000000002</v>
      </c>
      <c r="AM13" s="21">
        <f t="shared" si="20"/>
        <v>8.8617000000000008</v>
      </c>
      <c r="AN13" s="54">
        <v>8.1300000000000008</v>
      </c>
      <c r="AO13" s="55">
        <v>0.12</v>
      </c>
      <c r="AP13" s="21">
        <f t="shared" si="21"/>
        <v>0.65039999999999998</v>
      </c>
      <c r="AQ13" s="55">
        <v>0</v>
      </c>
      <c r="AR13" s="55">
        <v>0</v>
      </c>
      <c r="AS13" s="21">
        <f t="shared" si="22"/>
        <v>0</v>
      </c>
      <c r="AT13" s="54">
        <v>8.02</v>
      </c>
      <c r="AU13" s="54">
        <v>0.72</v>
      </c>
      <c r="AV13" s="21">
        <f t="shared" si="23"/>
        <v>2.8871999999999995</v>
      </c>
      <c r="AW13" s="54">
        <v>7.93</v>
      </c>
      <c r="AX13" s="54">
        <v>0.28000000000000003</v>
      </c>
      <c r="AY13" s="21">
        <f t="shared" si="24"/>
        <v>1.1102000000000001</v>
      </c>
      <c r="AZ13" s="54"/>
      <c r="BA13" s="54"/>
      <c r="BB13" s="21">
        <f t="shared" si="25"/>
        <v>0</v>
      </c>
      <c r="BC13" s="54">
        <v>0</v>
      </c>
      <c r="BD13" s="54">
        <v>0</v>
      </c>
      <c r="BE13" s="21">
        <f t="shared" si="26"/>
        <v>0</v>
      </c>
      <c r="BF13" s="55"/>
      <c r="BG13" s="55"/>
      <c r="BH13" s="21">
        <f t="shared" si="27"/>
        <v>0</v>
      </c>
      <c r="BI13" s="55">
        <v>0</v>
      </c>
      <c r="BJ13" s="55">
        <v>0</v>
      </c>
      <c r="BK13" s="21">
        <f t="shared" si="28"/>
        <v>0</v>
      </c>
      <c r="BL13" s="55">
        <v>0</v>
      </c>
      <c r="BM13" s="55">
        <v>0</v>
      </c>
      <c r="BN13" s="21">
        <f t="shared" si="29"/>
        <v>0</v>
      </c>
      <c r="BO13" s="55">
        <v>0</v>
      </c>
      <c r="BP13" s="55">
        <v>0</v>
      </c>
      <c r="BQ13" s="21">
        <f t="shared" si="30"/>
        <v>0</v>
      </c>
      <c r="BR13" s="55">
        <v>0</v>
      </c>
      <c r="BS13" s="21">
        <f t="shared" si="31"/>
        <v>13.509500000000001</v>
      </c>
      <c r="BT13" s="56">
        <v>0</v>
      </c>
      <c r="BU13" s="56"/>
      <c r="BV13" s="21">
        <f t="shared" si="32"/>
        <v>0</v>
      </c>
      <c r="BW13" s="77">
        <f t="shared" si="33"/>
        <v>0</v>
      </c>
      <c r="BX13" s="55"/>
      <c r="BY13" s="21">
        <f t="shared" si="34"/>
        <v>0</v>
      </c>
      <c r="BZ13" s="55"/>
      <c r="CA13" s="55"/>
      <c r="CB13" s="21">
        <f t="shared" si="35"/>
        <v>0</v>
      </c>
      <c r="CC13" s="55"/>
      <c r="CD13" s="55"/>
      <c r="CE13" s="21">
        <f t="shared" si="36"/>
        <v>0</v>
      </c>
      <c r="CF13" s="21"/>
      <c r="CG13" s="21"/>
      <c r="CH13" s="21">
        <f t="shared" si="37"/>
        <v>0</v>
      </c>
      <c r="CI13" s="25">
        <f t="shared" si="38"/>
        <v>0</v>
      </c>
      <c r="CJ13" s="54">
        <v>0.33500000000000002</v>
      </c>
      <c r="CK13" s="21">
        <f t="shared" si="39"/>
        <v>1.4237500000000001</v>
      </c>
      <c r="CL13" s="55"/>
      <c r="CM13" s="55"/>
      <c r="CN13" s="60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21">
        <f t="shared" si="40"/>
        <v>0</v>
      </c>
      <c r="CZ13" s="56">
        <v>0</v>
      </c>
      <c r="DA13" s="56">
        <v>0</v>
      </c>
      <c r="DB13" s="56">
        <v>0</v>
      </c>
      <c r="DC13" s="56">
        <v>0</v>
      </c>
      <c r="DD13" s="61">
        <f t="shared" si="41"/>
        <v>0</v>
      </c>
      <c r="DE13" s="21">
        <f t="shared" si="42"/>
        <v>0</v>
      </c>
      <c r="DF13" s="55"/>
      <c r="DG13" s="55"/>
      <c r="DH13" s="55"/>
      <c r="DI13" s="55"/>
      <c r="DJ13" s="104"/>
      <c r="DK13" s="53"/>
      <c r="DM13" s="58">
        <f t="shared" si="43"/>
        <v>639.70855838265607</v>
      </c>
      <c r="DN13" s="58">
        <f t="shared" si="44"/>
        <v>355.6</v>
      </c>
      <c r="DO13" s="21">
        <f t="shared" si="45"/>
        <v>0.55587813441021672</v>
      </c>
      <c r="DP13" s="62">
        <f t="shared" si="46"/>
        <v>1.066724438816979</v>
      </c>
      <c r="DQ13" s="7" t="s">
        <v>130</v>
      </c>
      <c r="DR13" s="107">
        <f t="shared" si="47"/>
        <v>0</v>
      </c>
    </row>
    <row r="14" spans="1:122" ht="12.75" customHeight="1" x14ac:dyDescent="0.2">
      <c r="A14" s="53" t="s">
        <v>143</v>
      </c>
      <c r="B14" s="54">
        <v>2</v>
      </c>
      <c r="C14" s="92">
        <f t="shared" si="0"/>
        <v>102.22149970840225</v>
      </c>
      <c r="D14" s="92">
        <f t="shared" si="1"/>
        <v>97.332274994404258</v>
      </c>
      <c r="E14" s="92">
        <f>VLOOKUP(A14,[3]TRTOTAL!$A$7:$D$313,3,FALSE)</f>
        <v>102.22149970840225</v>
      </c>
      <c r="F14" s="92">
        <f>VLOOKUP(A14,[3]TRTOTAL!$A$7:$D$313,4,FALSE)</f>
        <v>97.332274994404258</v>
      </c>
      <c r="G14" s="92">
        <f t="shared" si="48"/>
        <v>0</v>
      </c>
      <c r="H14" s="92">
        <f t="shared" si="49"/>
        <v>0</v>
      </c>
      <c r="I14" s="54">
        <v>6.1</v>
      </c>
      <c r="J14" s="56">
        <v>5.5</v>
      </c>
      <c r="K14" s="54">
        <v>2.5</v>
      </c>
      <c r="L14" s="57">
        <v>2</v>
      </c>
      <c r="M14" s="57"/>
      <c r="N14" s="57">
        <v>130</v>
      </c>
      <c r="O14" s="87"/>
      <c r="P14" s="24">
        <f t="shared" si="2"/>
        <v>20</v>
      </c>
      <c r="Q14" s="24">
        <f t="shared" si="3"/>
        <v>10.3</v>
      </c>
      <c r="R14" s="24">
        <f t="shared" si="4"/>
        <v>0</v>
      </c>
      <c r="S14" s="87">
        <v>10.5</v>
      </c>
      <c r="T14" s="21">
        <f t="shared" si="5"/>
        <v>0</v>
      </c>
      <c r="U14" s="21">
        <v>2.145</v>
      </c>
      <c r="V14" s="24">
        <f t="shared" si="6"/>
        <v>2.145</v>
      </c>
      <c r="W14" s="24">
        <f t="shared" si="7"/>
        <v>2.3050000000000002</v>
      </c>
      <c r="X14" s="24">
        <f t="shared" si="8"/>
        <v>3.7643338775932729</v>
      </c>
      <c r="Y14" s="25">
        <f t="shared" si="9"/>
        <v>1</v>
      </c>
      <c r="Z14" s="24">
        <f t="shared" si="10"/>
        <v>19.943952871040239</v>
      </c>
      <c r="AA14" s="21">
        <f t="shared" si="11"/>
        <v>0</v>
      </c>
      <c r="AB14" s="24">
        <f t="shared" si="12"/>
        <v>0</v>
      </c>
      <c r="AC14" s="24">
        <f t="shared" si="13"/>
        <v>22.943952871040239</v>
      </c>
      <c r="AD14" s="58">
        <f t="shared" si="14"/>
        <v>274</v>
      </c>
      <c r="AE14" s="58">
        <f t="shared" si="15"/>
        <v>280</v>
      </c>
      <c r="AF14" s="21">
        <f t="shared" si="16"/>
        <v>3</v>
      </c>
      <c r="AG14" s="77">
        <f t="shared" si="17"/>
        <v>0</v>
      </c>
      <c r="AH14" s="114">
        <f t="shared" si="50"/>
        <v>1</v>
      </c>
      <c r="AI14" s="59">
        <f t="shared" si="18"/>
        <v>97.619772232985767</v>
      </c>
      <c r="AJ14" s="59">
        <f t="shared" si="19"/>
        <v>92.950646810859553</v>
      </c>
      <c r="AK14" s="55"/>
      <c r="AL14" s="55"/>
      <c r="AM14" s="21">
        <f t="shared" si="20"/>
        <v>0</v>
      </c>
      <c r="AN14" s="54">
        <v>10.3</v>
      </c>
      <c r="AO14" s="55"/>
      <c r="AP14" s="21">
        <f t="shared" si="21"/>
        <v>0</v>
      </c>
      <c r="AQ14" s="55"/>
      <c r="AR14" s="55"/>
      <c r="AS14" s="21">
        <f t="shared" si="22"/>
        <v>0</v>
      </c>
      <c r="AT14" s="54"/>
      <c r="AU14" s="54"/>
      <c r="AV14" s="21">
        <f t="shared" si="23"/>
        <v>0</v>
      </c>
      <c r="AW14" s="54"/>
      <c r="AX14" s="54"/>
      <c r="AY14" s="21">
        <f t="shared" si="24"/>
        <v>0</v>
      </c>
      <c r="AZ14" s="54"/>
      <c r="BA14" s="54"/>
      <c r="BB14" s="21">
        <f t="shared" si="25"/>
        <v>0</v>
      </c>
      <c r="BC14" s="54"/>
      <c r="BD14" s="54"/>
      <c r="BE14" s="21">
        <f t="shared" si="26"/>
        <v>0</v>
      </c>
      <c r="BF14" s="55"/>
      <c r="BG14" s="55"/>
      <c r="BH14" s="21">
        <f t="shared" si="27"/>
        <v>0</v>
      </c>
      <c r="BI14" s="55"/>
      <c r="BJ14" s="55"/>
      <c r="BK14" s="21">
        <f t="shared" si="28"/>
        <v>0</v>
      </c>
      <c r="BL14" s="55"/>
      <c r="BM14" s="55"/>
      <c r="BN14" s="21">
        <f t="shared" si="29"/>
        <v>0</v>
      </c>
      <c r="BO14" s="55"/>
      <c r="BP14" s="55"/>
      <c r="BQ14" s="21">
        <f t="shared" si="30"/>
        <v>0</v>
      </c>
      <c r="BR14" s="55"/>
      <c r="BS14" s="21">
        <f t="shared" si="31"/>
        <v>0</v>
      </c>
      <c r="BT14" s="56">
        <v>0</v>
      </c>
      <c r="BU14" s="56"/>
      <c r="BV14" s="21">
        <f t="shared" si="32"/>
        <v>0</v>
      </c>
      <c r="BW14" s="77">
        <f t="shared" si="33"/>
        <v>0</v>
      </c>
      <c r="BX14" s="55"/>
      <c r="BY14" s="21">
        <f t="shared" si="34"/>
        <v>0</v>
      </c>
      <c r="BZ14" s="55"/>
      <c r="CA14" s="55"/>
      <c r="CB14" s="21">
        <f t="shared" si="35"/>
        <v>0</v>
      </c>
      <c r="CC14" s="54"/>
      <c r="CD14" s="54"/>
      <c r="CE14" s="21">
        <f t="shared" si="36"/>
        <v>0</v>
      </c>
      <c r="CF14" s="21"/>
      <c r="CG14" s="21"/>
      <c r="CH14" s="21">
        <f t="shared" si="37"/>
        <v>0</v>
      </c>
      <c r="CI14" s="25">
        <f t="shared" si="38"/>
        <v>0</v>
      </c>
      <c r="CJ14" s="54"/>
      <c r="CK14" s="21">
        <f t="shared" si="39"/>
        <v>0</v>
      </c>
      <c r="CL14" s="55"/>
      <c r="CM14" s="55"/>
      <c r="CN14" s="60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21">
        <f t="shared" si="40"/>
        <v>0</v>
      </c>
      <c r="CZ14" s="56"/>
      <c r="DA14" s="56"/>
      <c r="DB14" s="56"/>
      <c r="DC14" s="56"/>
      <c r="DD14" s="61">
        <f t="shared" si="41"/>
        <v>0</v>
      </c>
      <c r="DE14" s="21">
        <f t="shared" si="42"/>
        <v>20</v>
      </c>
      <c r="DF14" s="55">
        <v>20</v>
      </c>
      <c r="DG14" s="55"/>
      <c r="DH14" s="55"/>
      <c r="DI14" s="55">
        <v>20</v>
      </c>
      <c r="DJ14" s="104"/>
      <c r="DK14" s="53" t="s">
        <v>129</v>
      </c>
      <c r="DM14" s="58">
        <f t="shared" si="43"/>
        <v>1033.6359935999999</v>
      </c>
      <c r="DN14" s="58">
        <f t="shared" si="44"/>
        <v>680</v>
      </c>
      <c r="DO14" s="21">
        <f t="shared" si="45"/>
        <v>0.65787182742317385</v>
      </c>
      <c r="DP14" s="62">
        <f t="shared" si="46"/>
        <v>1.0471392974000564</v>
      </c>
      <c r="DQ14" s="7" t="s">
        <v>130</v>
      </c>
      <c r="DR14" s="107">
        <f t="shared" si="47"/>
        <v>0</v>
      </c>
    </row>
    <row r="15" spans="1:122" ht="12.75" hidden="1" customHeight="1" x14ac:dyDescent="0.2">
      <c r="A15" s="53" t="s">
        <v>139</v>
      </c>
      <c r="B15" s="54">
        <v>2</v>
      </c>
      <c r="C15" s="92" t="e">
        <f t="shared" si="0"/>
        <v>#DIV/0!</v>
      </c>
      <c r="D15" s="92" t="e">
        <f t="shared" si="1"/>
        <v>#DIV/0!</v>
      </c>
      <c r="E15" s="92">
        <f>VLOOKUP(A15,[3]TRTOTAL!$A$7:$D$313,3,FALSE)</f>
        <v>107.2649341255196</v>
      </c>
      <c r="F15" s="92">
        <f>VLOOKUP(A15,[3]TRTOTAL!$A$7:$D$313,4,FALSE)</f>
        <v>100.67485416250844</v>
      </c>
      <c r="G15" s="92" t="e">
        <f t="shared" si="48"/>
        <v>#DIV/0!</v>
      </c>
      <c r="H15" s="92" t="e">
        <f t="shared" si="49"/>
        <v>#DIV/0!</v>
      </c>
      <c r="I15" s="54">
        <v>6.1</v>
      </c>
      <c r="J15" s="56">
        <v>6</v>
      </c>
      <c r="K15" s="54">
        <v>3.05</v>
      </c>
      <c r="L15" s="57">
        <v>2</v>
      </c>
      <c r="M15" s="57">
        <v>175</v>
      </c>
      <c r="N15" s="57"/>
      <c r="O15" s="87"/>
      <c r="P15" s="24">
        <f t="shared" si="2"/>
        <v>19.437699999999996</v>
      </c>
      <c r="Q15" s="24">
        <f t="shared" si="3"/>
        <v>9.69</v>
      </c>
      <c r="R15" s="24">
        <f t="shared" si="4"/>
        <v>0</v>
      </c>
      <c r="S15" s="87"/>
      <c r="T15" s="21">
        <f t="shared" si="5"/>
        <v>0</v>
      </c>
      <c r="U15" s="21"/>
      <c r="V15" s="24">
        <f t="shared" si="6"/>
        <v>2.56</v>
      </c>
      <c r="W15" s="24">
        <f t="shared" si="7"/>
        <v>2.7250000000000001</v>
      </c>
      <c r="X15" s="24">
        <f t="shared" si="8"/>
        <v>2.6176517128187857</v>
      </c>
      <c r="Y15" s="25" t="e">
        <f t="shared" si="9"/>
        <v>#DIV/0!</v>
      </c>
      <c r="Z15" s="24" t="e">
        <f t="shared" si="10"/>
        <v>#DIV/0!</v>
      </c>
      <c r="AA15" s="21">
        <f t="shared" si="11"/>
        <v>0</v>
      </c>
      <c r="AB15" s="24">
        <f t="shared" si="12"/>
        <v>0</v>
      </c>
      <c r="AC15" s="24" t="e">
        <f t="shared" si="13"/>
        <v>#DIV/0!</v>
      </c>
      <c r="AD15" s="58">
        <f t="shared" si="14"/>
        <v>325</v>
      </c>
      <c r="AE15" s="58">
        <f t="shared" si="15"/>
        <v>331</v>
      </c>
      <c r="AF15" s="21">
        <f t="shared" si="16"/>
        <v>3.2906249999999999</v>
      </c>
      <c r="AG15" s="77">
        <f t="shared" si="17"/>
        <v>0</v>
      </c>
      <c r="AH15" s="114">
        <f t="shared" si="50"/>
        <v>1</v>
      </c>
      <c r="AI15" s="59" t="e">
        <f t="shared" si="18"/>
        <v>#DIV/0!</v>
      </c>
      <c r="AJ15" s="59" t="e">
        <f t="shared" si="19"/>
        <v>#DIV/0!</v>
      </c>
      <c r="AK15" s="55">
        <v>9.69</v>
      </c>
      <c r="AL15" s="55">
        <v>2.56</v>
      </c>
      <c r="AM15" s="21">
        <f t="shared" si="20"/>
        <v>12.4032</v>
      </c>
      <c r="AN15" s="54">
        <v>9.69</v>
      </c>
      <c r="AO15" s="55">
        <v>0.15</v>
      </c>
      <c r="AP15" s="21">
        <f t="shared" si="21"/>
        <v>0.96899999999999986</v>
      </c>
      <c r="AQ15" s="55"/>
      <c r="AR15" s="55"/>
      <c r="AS15" s="21">
        <f t="shared" si="22"/>
        <v>0</v>
      </c>
      <c r="AT15" s="54">
        <v>9.24</v>
      </c>
      <c r="AU15" s="54">
        <v>0.8</v>
      </c>
      <c r="AV15" s="21">
        <f t="shared" si="23"/>
        <v>3.6960000000000002</v>
      </c>
      <c r="AW15" s="54">
        <v>8.86</v>
      </c>
      <c r="AX15" s="54">
        <v>0.41</v>
      </c>
      <c r="AY15" s="21">
        <f t="shared" si="24"/>
        <v>1.8162999999999998</v>
      </c>
      <c r="AZ15" s="54"/>
      <c r="BA15" s="54"/>
      <c r="BB15" s="21">
        <f t="shared" si="25"/>
        <v>0</v>
      </c>
      <c r="BC15" s="54"/>
      <c r="BD15" s="54"/>
      <c r="BE15" s="21">
        <f t="shared" si="26"/>
        <v>0</v>
      </c>
      <c r="BF15" s="55">
        <v>1.86</v>
      </c>
      <c r="BG15" s="55">
        <v>0.14000000000000001</v>
      </c>
      <c r="BH15" s="21">
        <f t="shared" si="27"/>
        <v>0.13020000000000001</v>
      </c>
      <c r="BI15" s="55">
        <v>7.05</v>
      </c>
      <c r="BJ15" s="55">
        <v>0.09</v>
      </c>
      <c r="BK15" s="21">
        <f t="shared" si="28"/>
        <v>0.42299999999999999</v>
      </c>
      <c r="BL15" s="55"/>
      <c r="BM15" s="55"/>
      <c r="BN15" s="21">
        <f t="shared" si="29"/>
        <v>0</v>
      </c>
      <c r="BO15" s="55"/>
      <c r="BP15" s="55"/>
      <c r="BQ15" s="21">
        <f t="shared" si="30"/>
        <v>0</v>
      </c>
      <c r="BR15" s="55"/>
      <c r="BS15" s="21">
        <f t="shared" si="31"/>
        <v>19.437699999999996</v>
      </c>
      <c r="BT15" s="56">
        <v>0</v>
      </c>
      <c r="BU15" s="56"/>
      <c r="BV15" s="21">
        <f t="shared" si="32"/>
        <v>0</v>
      </c>
      <c r="BW15" s="77">
        <f t="shared" si="33"/>
        <v>0</v>
      </c>
      <c r="BX15" s="55"/>
      <c r="BY15" s="21">
        <f t="shared" si="34"/>
        <v>0</v>
      </c>
      <c r="BZ15" s="55"/>
      <c r="CA15" s="55"/>
      <c r="CB15" s="21">
        <f t="shared" si="35"/>
        <v>0</v>
      </c>
      <c r="CC15" s="55"/>
      <c r="CD15" s="55"/>
      <c r="CE15" s="21">
        <f t="shared" si="36"/>
        <v>0</v>
      </c>
      <c r="CF15" s="21"/>
      <c r="CG15" s="21"/>
      <c r="CH15" s="21">
        <f t="shared" si="37"/>
        <v>0</v>
      </c>
      <c r="CI15" s="25">
        <f t="shared" si="38"/>
        <v>0</v>
      </c>
      <c r="CJ15" s="54">
        <v>0.33</v>
      </c>
      <c r="CK15" s="21">
        <f t="shared" si="39"/>
        <v>0</v>
      </c>
      <c r="CL15" s="55" t="s">
        <v>140</v>
      </c>
      <c r="CM15" s="55" t="s">
        <v>141</v>
      </c>
      <c r="CN15" s="60">
        <v>39254</v>
      </c>
      <c r="CO15" s="55" t="s">
        <v>142</v>
      </c>
      <c r="CP15" s="55"/>
      <c r="CQ15" s="55"/>
      <c r="CR15" s="55"/>
      <c r="CS15" s="55"/>
      <c r="CT15" s="55"/>
      <c r="CU15" s="55"/>
      <c r="CV15" s="55"/>
      <c r="CW15" s="55"/>
      <c r="CX15" s="55"/>
      <c r="CY15" s="21">
        <f t="shared" si="40"/>
        <v>0</v>
      </c>
      <c r="CZ15" s="56">
        <v>3.77</v>
      </c>
      <c r="DA15" s="56">
        <v>8.36</v>
      </c>
      <c r="DB15" s="56">
        <v>7.84</v>
      </c>
      <c r="DC15" s="56">
        <v>3.12</v>
      </c>
      <c r="DD15" s="61">
        <f t="shared" si="41"/>
        <v>0.82758620689655171</v>
      </c>
      <c r="DE15" s="21">
        <f t="shared" si="42"/>
        <v>21.9375</v>
      </c>
      <c r="DF15" s="55"/>
      <c r="DG15" s="55"/>
      <c r="DH15" s="55"/>
      <c r="DI15" s="55"/>
      <c r="DJ15" s="104"/>
      <c r="DK15" s="53"/>
      <c r="DM15" s="58" t="e">
        <f t="shared" si="43"/>
        <v>#DIV/0!</v>
      </c>
      <c r="DN15" s="58">
        <f t="shared" si="44"/>
        <v>874.375</v>
      </c>
      <c r="DO15" s="21" t="e">
        <f t="shared" si="45"/>
        <v>#DIV/0!</v>
      </c>
      <c r="DP15" s="62" t="e">
        <f t="shared" si="46"/>
        <v>#DIV/0!</v>
      </c>
      <c r="DQ15" s="7">
        <v>0</v>
      </c>
      <c r="DR15" s="107" t="e">
        <f t="shared" si="47"/>
        <v>#DIV/0!</v>
      </c>
    </row>
    <row r="16" spans="1:122" ht="12.75" customHeight="1" x14ac:dyDescent="0.2">
      <c r="A16" s="53" t="s">
        <v>506</v>
      </c>
      <c r="B16" s="54">
        <v>2</v>
      </c>
      <c r="C16" s="92">
        <f t="shared" si="0"/>
        <v>106.79148956323066</v>
      </c>
      <c r="D16" s="92">
        <f t="shared" si="1"/>
        <v>102.57000160748831</v>
      </c>
      <c r="E16" s="92">
        <f>VLOOKUP(A16,[3]TRTOTAL!$A$7:$D$313,3,FALSE)</f>
        <v>107.69284720816007</v>
      </c>
      <c r="F16" s="92">
        <f>VLOOKUP(A16,[3]TRTOTAL!$A$7:$D$313,4,FALSE)</f>
        <v>103.32070577582665</v>
      </c>
      <c r="G16" s="92"/>
      <c r="H16" s="92"/>
      <c r="I16" s="54">
        <v>5</v>
      </c>
      <c r="J16" s="56">
        <v>5</v>
      </c>
      <c r="K16" s="54">
        <v>2.5</v>
      </c>
      <c r="L16" s="57">
        <v>2</v>
      </c>
      <c r="M16" s="57"/>
      <c r="N16" s="57">
        <v>123</v>
      </c>
      <c r="O16" s="87"/>
      <c r="P16" s="24">
        <f>marea+areaMast+mssam+mareNoDet</f>
        <v>15</v>
      </c>
      <c r="Q16" s="24">
        <f>voorvlm1+voorllm2</f>
        <v>8.48</v>
      </c>
      <c r="R16" s="24">
        <f t="shared" si="4"/>
        <v>3.7</v>
      </c>
      <c r="S16" s="87">
        <v>8.5</v>
      </c>
      <c r="T16" s="21">
        <f>IF(gs_1,gs_1*0.94,VlgNoDetails)</f>
        <v>5.64</v>
      </c>
      <c r="U16" s="108"/>
      <c r="V16" s="24">
        <f t="shared" si="6"/>
        <v>2.06</v>
      </c>
      <c r="W16" s="24">
        <f>IF(circMast,circMast/2,0.16)+V16</f>
        <v>2.2200000000000002</v>
      </c>
      <c r="X16" s="24">
        <f>msam/e^2</f>
        <v>3.0435841246652053</v>
      </c>
      <c r="Y16" s="25">
        <f t="shared" si="9"/>
        <v>1</v>
      </c>
      <c r="Z16" s="24">
        <f>0.67*X16^0.3*msam*Y16</f>
        <v>14.034005900949326</v>
      </c>
      <c r="AA16" s="21">
        <f>IF(lpg,msag/lpg^2,0)</f>
        <v>0</v>
      </c>
      <c r="AB16" s="24">
        <f>IF(AA16,0.72*AA16^0.3*msag,IF(msag,0.9*msag,0))</f>
        <v>3.33</v>
      </c>
      <c r="AC16" s="24">
        <f>rsam+rsag+IF(rsascr,rsascr-jibred*rsag,rsas-jibred*rsag)</f>
        <v>19.556105900949326</v>
      </c>
      <c r="AD16" s="58">
        <f>IF(wsex,wsex,wsin-6)+crew*(IF(AND(crew=1,msam+msag&gt;=11),75,IF(loa&lt;=4,65,IF(loa&lt;=4.8,70,75))))</f>
        <v>267</v>
      </c>
      <c r="AE16" s="58">
        <f>IF(wsin,wsin,wsex+6)+crew*(IF(AND(crew=1,msam+msag&gt;=11),75,IF(loa&lt;=4,65,IF(loa&lt;=4.8,70,75))))</f>
        <v>273</v>
      </c>
      <c r="AF16" s="21">
        <f>IF(sas,((sas)*0.15),IF(loa&lt;=4.87,IF(crew=1,14*0.15,17*0.15),IF(loa&lt;=5.8,IF(crew=1,17*0.15,21*0.15),IF(loa&lt;=6.71,IF(crew=1,20*0.15,25*0.15),0))))</f>
        <v>2.625</v>
      </c>
      <c r="AG16" s="77">
        <f>IF(AND(ars&lt;0.75*(AND(ars&gt;0)),(sas/msam&gt;0.75)),(sas*(12/ars^1.1)*0.01),0)</f>
        <v>0</v>
      </c>
      <c r="AH16" s="114">
        <f t="shared" si="50"/>
        <v>1</v>
      </c>
      <c r="AI16" s="59">
        <f>100/(1.15*rl^0.3*(rsam+rsag)^0.4/rwex^0.325)*corcb</f>
        <v>105.28520531670198</v>
      </c>
      <c r="AJ16" s="59">
        <f>100/(1.15*rl^0.3*rsa^0.4/rwin^0.325)*corcb</f>
        <v>101.12326106458856</v>
      </c>
      <c r="AK16" s="55"/>
      <c r="AL16" s="55">
        <v>2.06</v>
      </c>
      <c r="AM16" s="21">
        <f>AK16*AL16*0.5</f>
        <v>0</v>
      </c>
      <c r="AN16" s="55">
        <v>8.48</v>
      </c>
      <c r="AO16" s="55"/>
      <c r="AP16" s="21">
        <f>AN16*AO16*2/3</f>
        <v>0</v>
      </c>
      <c r="AQ16" s="55"/>
      <c r="AR16" s="55">
        <v>0</v>
      </c>
      <c r="AS16" s="21">
        <f>AQ16*AR16*2/3</f>
        <v>0</v>
      </c>
      <c r="AT16" s="54"/>
      <c r="AU16" s="54"/>
      <c r="AV16" s="21">
        <f>AT16*AU16*0.5</f>
        <v>0</v>
      </c>
      <c r="AW16" s="54"/>
      <c r="AX16" s="54"/>
      <c r="AY16" s="21">
        <f>AW16*AX16*0.5</f>
        <v>0</v>
      </c>
      <c r="AZ16" s="54"/>
      <c r="BA16" s="54"/>
      <c r="BB16" s="21">
        <f>AZ16*BA16*2/3</f>
        <v>0</v>
      </c>
      <c r="BC16" s="54"/>
      <c r="BD16" s="54"/>
      <c r="BE16" s="21">
        <f>BC16*BD16*2/3</f>
        <v>0</v>
      </c>
      <c r="BF16" s="55"/>
      <c r="BG16" s="55"/>
      <c r="BH16" s="21">
        <f>BF16*BG16*0.5</f>
        <v>0</v>
      </c>
      <c r="BI16" s="55"/>
      <c r="BJ16" s="55"/>
      <c r="BK16" s="21">
        <f>BI16*BJ16*2/3</f>
        <v>0</v>
      </c>
      <c r="BL16" s="55"/>
      <c r="BM16" s="55"/>
      <c r="BN16" s="21">
        <f>BL16*BM16*0.5</f>
        <v>0</v>
      </c>
      <c r="BO16" s="55"/>
      <c r="BP16" s="55"/>
      <c r="BQ16" s="21">
        <f>BO16*BP16*0.5</f>
        <v>0</v>
      </c>
      <c r="BR16" s="55"/>
      <c r="BS16" s="21">
        <f>AM16+AP16+AS16+AV16+AY16+BB16+BE16+BH16+BK16+BN16+BQ16</f>
        <v>0</v>
      </c>
      <c r="BT16" s="56">
        <v>0</v>
      </c>
      <c r="BU16" s="56"/>
      <c r="BV16" s="21">
        <f>BT16*BU16*0.5</f>
        <v>0</v>
      </c>
      <c r="BW16" s="77">
        <f>BT16-CF16</f>
        <v>0</v>
      </c>
      <c r="BX16" s="55"/>
      <c r="BY16" s="21">
        <f>BW16*BX16*2/3</f>
        <v>0</v>
      </c>
      <c r="BZ16" s="55"/>
      <c r="CA16" s="55"/>
      <c r="CB16" s="21">
        <f>BZ16*CA16*2/3</f>
        <v>0</v>
      </c>
      <c r="CC16" s="54"/>
      <c r="CD16" s="54"/>
      <c r="CE16" s="21">
        <f>CC16*CD16*2/3</f>
        <v>0</v>
      </c>
      <c r="CF16" s="21"/>
      <c r="CG16" s="21"/>
      <c r="CH16" s="21">
        <f>CF16*CG16*0.5</f>
        <v>0</v>
      </c>
      <c r="CI16" s="25">
        <f>BV16+BY16+CB16+CE16+CH16+DG16</f>
        <v>3.7</v>
      </c>
      <c r="CJ16" s="54"/>
      <c r="CK16" s="21">
        <f>MastLength*circMast*0.5</f>
        <v>0</v>
      </c>
      <c r="CL16" s="55"/>
      <c r="CM16" s="55"/>
      <c r="CN16" s="60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21">
        <f>(CT16+4*CU16+2*CV16+4*CW16+CX16)*AN16/12</f>
        <v>0</v>
      </c>
      <c r="CZ16" s="56"/>
      <c r="DA16" s="56"/>
      <c r="DB16" s="56"/>
      <c r="DC16" s="56"/>
      <c r="DD16" s="61">
        <f>IF(CZ16,DC16/CZ16,smg_sf_no_details)</f>
        <v>0</v>
      </c>
      <c r="DE16" s="21">
        <f>IF(CZ16,CZ16*(DA16+DB16)/4+(DC16-CZ16/2)*(DA16+DB16)/3,sas_no_details)</f>
        <v>17.5</v>
      </c>
      <c r="DF16" s="55">
        <v>15</v>
      </c>
      <c r="DG16" s="55">
        <v>3.7</v>
      </c>
      <c r="DH16" s="55">
        <v>5.64</v>
      </c>
      <c r="DI16" s="55">
        <v>17.5</v>
      </c>
      <c r="DJ16" s="104"/>
      <c r="DK16" s="53" t="s">
        <v>129</v>
      </c>
      <c r="DM16" s="58">
        <f>((0.42*vlm+IF(Decksweeper="yes",0.98,1))*msam+(0.33*vlg+1)*msag)*DynPress</f>
        <v>763.78092241919978</v>
      </c>
      <c r="DN16" s="58">
        <f>IF(wsex,0.5*wsex*width+(rwex-wsex)*width+trapeze*(rwex-wsex)/crew,0.5*(wsin-6)*width+(rwin-wsin)*width+trapeze*(rwin-wsin)/crew)</f>
        <v>671.25</v>
      </c>
      <c r="DO16" s="21">
        <f>righting/heeling</f>
        <v>0.8788514877720206</v>
      </c>
      <c r="DP16" s="62">
        <f t="shared" si="46"/>
        <v>1.014306703795635</v>
      </c>
      <c r="DQ16" s="7" t="s">
        <v>130</v>
      </c>
      <c r="DR16" s="107" t="str">
        <f>IF((vlm/MastLength)&gt;0.99,"yes",0)</f>
        <v>yes</v>
      </c>
    </row>
    <row r="17" spans="1:122" ht="12.75" customHeight="1" x14ac:dyDescent="0.2">
      <c r="A17" s="53" t="s">
        <v>592</v>
      </c>
      <c r="B17" s="54">
        <v>1</v>
      </c>
      <c r="C17" s="92">
        <f t="shared" si="0"/>
        <v>107.99246274269538</v>
      </c>
      <c r="D17" s="92">
        <f t="shared" si="1"/>
        <v>102.88738028662762</v>
      </c>
      <c r="E17" s="92" t="e">
        <f>VLOOKUP(A17,[3]TRTOTAL!$A$7:$D$313,3,FALSE)</f>
        <v>#N/A</v>
      </c>
      <c r="F17" s="92" t="e">
        <f>VLOOKUP(A17,[3]TRTOTAL!$A$7:$D$313,4,FALSE)</f>
        <v>#N/A</v>
      </c>
      <c r="G17" s="92" t="e">
        <f t="shared" si="48"/>
        <v>#N/A</v>
      </c>
      <c r="H17" s="92" t="e">
        <f t="shared" si="49"/>
        <v>#N/A</v>
      </c>
      <c r="I17" s="54">
        <v>5</v>
      </c>
      <c r="J17" s="56">
        <v>5</v>
      </c>
      <c r="K17" s="54">
        <v>2.5</v>
      </c>
      <c r="L17" s="57">
        <v>1</v>
      </c>
      <c r="M17" s="57"/>
      <c r="N17" s="57">
        <v>119</v>
      </c>
      <c r="O17" s="87"/>
      <c r="P17" s="24">
        <f t="shared" si="2"/>
        <v>15</v>
      </c>
      <c r="Q17" s="24">
        <f t="shared" si="3"/>
        <v>8.48</v>
      </c>
      <c r="R17" s="24">
        <f t="shared" si="4"/>
        <v>0</v>
      </c>
      <c r="S17" s="87">
        <v>8.5</v>
      </c>
      <c r="T17" s="21">
        <f t="shared" si="5"/>
        <v>0</v>
      </c>
      <c r="U17" s="21"/>
      <c r="V17" s="24">
        <f t="shared" si="6"/>
        <v>2.06</v>
      </c>
      <c r="W17" s="24">
        <f t="shared" si="7"/>
        <v>2.2200000000000002</v>
      </c>
      <c r="X17" s="24">
        <f t="shared" si="8"/>
        <v>3.0435841246652053</v>
      </c>
      <c r="Y17" s="25">
        <f t="shared" si="9"/>
        <v>1</v>
      </c>
      <c r="Z17" s="24">
        <f t="shared" si="10"/>
        <v>14.034005900949326</v>
      </c>
      <c r="AA17" s="21">
        <f t="shared" si="11"/>
        <v>0</v>
      </c>
      <c r="AB17" s="24">
        <f t="shared" si="12"/>
        <v>0</v>
      </c>
      <c r="AC17" s="24">
        <f t="shared" si="13"/>
        <v>16.659005900949325</v>
      </c>
      <c r="AD17" s="58">
        <f t="shared" si="14"/>
        <v>188</v>
      </c>
      <c r="AE17" s="58">
        <f t="shared" si="15"/>
        <v>194</v>
      </c>
      <c r="AF17" s="21">
        <f t="shared" si="16"/>
        <v>2.625</v>
      </c>
      <c r="AG17" s="77">
        <f t="shared" si="17"/>
        <v>0</v>
      </c>
      <c r="AH17" s="114">
        <f t="shared" si="50"/>
        <v>1</v>
      </c>
      <c r="AI17" s="59">
        <f t="shared" si="18"/>
        <v>102.29155895356428</v>
      </c>
      <c r="AJ17" s="59">
        <f t="shared" si="19"/>
        <v>96.491062311250758</v>
      </c>
      <c r="AK17" s="55"/>
      <c r="AL17" s="55">
        <v>2.06</v>
      </c>
      <c r="AM17" s="21">
        <f t="shared" si="20"/>
        <v>0</v>
      </c>
      <c r="AN17" s="55">
        <v>8.48</v>
      </c>
      <c r="AO17" s="55"/>
      <c r="AP17" s="21">
        <f t="shared" si="21"/>
        <v>0</v>
      </c>
      <c r="AQ17" s="55"/>
      <c r="AR17" s="55">
        <v>0</v>
      </c>
      <c r="AS17" s="21">
        <f t="shared" si="22"/>
        <v>0</v>
      </c>
      <c r="AT17" s="54"/>
      <c r="AU17" s="54"/>
      <c r="AV17" s="21">
        <f t="shared" si="23"/>
        <v>0</v>
      </c>
      <c r="AW17" s="54"/>
      <c r="AX17" s="54"/>
      <c r="AY17" s="21">
        <f t="shared" si="24"/>
        <v>0</v>
      </c>
      <c r="AZ17" s="54"/>
      <c r="BA17" s="54"/>
      <c r="BB17" s="21">
        <f t="shared" si="25"/>
        <v>0</v>
      </c>
      <c r="BC17" s="54"/>
      <c r="BD17" s="54"/>
      <c r="BE17" s="21">
        <f t="shared" si="26"/>
        <v>0</v>
      </c>
      <c r="BF17" s="55"/>
      <c r="BG17" s="55"/>
      <c r="BH17" s="21">
        <f t="shared" si="27"/>
        <v>0</v>
      </c>
      <c r="BI17" s="55"/>
      <c r="BJ17" s="55"/>
      <c r="BK17" s="21">
        <f t="shared" si="28"/>
        <v>0</v>
      </c>
      <c r="BL17" s="55"/>
      <c r="BM17" s="55"/>
      <c r="BN17" s="21">
        <f t="shared" si="29"/>
        <v>0</v>
      </c>
      <c r="BO17" s="55"/>
      <c r="BP17" s="55"/>
      <c r="BQ17" s="21">
        <f t="shared" si="30"/>
        <v>0</v>
      </c>
      <c r="BR17" s="55"/>
      <c r="BS17" s="21">
        <f t="shared" si="31"/>
        <v>0</v>
      </c>
      <c r="BT17" s="56">
        <v>0</v>
      </c>
      <c r="BU17" s="56"/>
      <c r="BV17" s="21">
        <f t="shared" si="32"/>
        <v>0</v>
      </c>
      <c r="BW17" s="77">
        <f t="shared" si="33"/>
        <v>0</v>
      </c>
      <c r="BX17" s="55"/>
      <c r="BY17" s="21">
        <f t="shared" si="34"/>
        <v>0</v>
      </c>
      <c r="BZ17" s="55"/>
      <c r="CA17" s="55"/>
      <c r="CB17" s="21">
        <f t="shared" si="35"/>
        <v>0</v>
      </c>
      <c r="CC17" s="55"/>
      <c r="CD17" s="55"/>
      <c r="CE17" s="21">
        <f t="shared" si="36"/>
        <v>0</v>
      </c>
      <c r="CF17" s="21"/>
      <c r="CG17" s="21"/>
      <c r="CH17" s="21">
        <f t="shared" si="37"/>
        <v>0</v>
      </c>
      <c r="CI17" s="25">
        <f t="shared" si="38"/>
        <v>0</v>
      </c>
      <c r="CJ17" s="54"/>
      <c r="CK17" s="21">
        <f t="shared" si="39"/>
        <v>0</v>
      </c>
      <c r="CL17" s="55"/>
      <c r="CM17" s="55"/>
      <c r="CN17" s="60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21">
        <f t="shared" si="40"/>
        <v>0</v>
      </c>
      <c r="CZ17" s="56"/>
      <c r="DA17" s="56"/>
      <c r="DB17" s="56"/>
      <c r="DC17" s="56"/>
      <c r="DD17" s="61">
        <f t="shared" si="41"/>
        <v>0</v>
      </c>
      <c r="DE17" s="21">
        <f t="shared" si="42"/>
        <v>17.5</v>
      </c>
      <c r="DF17" s="55">
        <v>15</v>
      </c>
      <c r="DG17" s="55"/>
      <c r="DH17" s="55"/>
      <c r="DI17" s="55">
        <v>17.5</v>
      </c>
      <c r="DJ17" s="104"/>
      <c r="DK17" s="53" t="s">
        <v>129</v>
      </c>
      <c r="DM17" s="58">
        <f t="shared" si="43"/>
        <v>661.05349631999991</v>
      </c>
      <c r="DN17" s="58">
        <f t="shared" si="44"/>
        <v>403.75</v>
      </c>
      <c r="DO17" s="21">
        <f t="shared" si="45"/>
        <v>0.61076751314019895</v>
      </c>
      <c r="DP17" s="62">
        <f t="shared" si="46"/>
        <v>1.0557319083554007</v>
      </c>
      <c r="DQ17" s="7" t="s">
        <v>130</v>
      </c>
      <c r="DR17" s="107" t="str">
        <f t="shared" si="47"/>
        <v>yes</v>
      </c>
    </row>
    <row r="18" spans="1:122" ht="12.75" customHeight="1" x14ac:dyDescent="0.2">
      <c r="A18" s="53" t="s">
        <v>593</v>
      </c>
      <c r="B18" s="54">
        <v>2</v>
      </c>
      <c r="C18" s="92">
        <f t="shared" si="0"/>
        <v>106.79148956323066</v>
      </c>
      <c r="D18" s="92">
        <f t="shared" si="1"/>
        <v>102.57000160748831</v>
      </c>
      <c r="E18" s="92" t="e">
        <f>VLOOKUP(A18,[3]TRTOTAL!$A$7:$D$313,3,FALSE)</f>
        <v>#N/A</v>
      </c>
      <c r="F18" s="92" t="e">
        <f>VLOOKUP(A18,[3]TRTOTAL!$A$7:$D$313,4,FALSE)</f>
        <v>#N/A</v>
      </c>
      <c r="G18" s="92"/>
      <c r="H18" s="92"/>
      <c r="I18" s="54">
        <v>5</v>
      </c>
      <c r="J18" s="56">
        <v>5</v>
      </c>
      <c r="K18" s="54">
        <v>2.5</v>
      </c>
      <c r="L18" s="57">
        <v>2</v>
      </c>
      <c r="M18" s="57"/>
      <c r="N18" s="57">
        <v>123</v>
      </c>
      <c r="O18" s="87"/>
      <c r="P18" s="24">
        <f t="shared" si="2"/>
        <v>15</v>
      </c>
      <c r="Q18" s="24">
        <f>voorvlm1+voorllm2</f>
        <v>8.48</v>
      </c>
      <c r="R18" s="24">
        <f t="shared" si="4"/>
        <v>3.7</v>
      </c>
      <c r="S18" s="87">
        <v>8.5</v>
      </c>
      <c r="T18" s="21">
        <f>IF(gs_1,gs_1*0.94,VlgNoDetails)</f>
        <v>5.64</v>
      </c>
      <c r="U18" s="108"/>
      <c r="V18" s="24">
        <f t="shared" si="6"/>
        <v>2.06</v>
      </c>
      <c r="W18" s="24">
        <f>IF(circMast,circMast/2,0.16)+V18</f>
        <v>2.2200000000000002</v>
      </c>
      <c r="X18" s="24">
        <f>msam/e^2</f>
        <v>3.0435841246652053</v>
      </c>
      <c r="Y18" s="25">
        <f t="shared" si="9"/>
        <v>1</v>
      </c>
      <c r="Z18" s="24">
        <f>0.67*X18^0.3*msam*Y18</f>
        <v>14.034005900949326</v>
      </c>
      <c r="AA18" s="21">
        <f>IF(lpg,msag/lpg^2,0)</f>
        <v>0</v>
      </c>
      <c r="AB18" s="24">
        <f>IF(AA18,0.72*AA18^0.3*msag,IF(msag,0.9*msag,0))</f>
        <v>3.33</v>
      </c>
      <c r="AC18" s="24">
        <f>rsam+rsag+IF(rsascr,rsascr-jibred*rsag,rsas-jibred*rsag)</f>
        <v>19.556105900949326</v>
      </c>
      <c r="AD18" s="58">
        <f>IF(wsex,wsex,wsin-6)+crew*(IF(AND(crew=1,msam+msag&gt;=11),75,IF(loa&lt;=4,65,IF(loa&lt;=4.8,70,75))))</f>
        <v>267</v>
      </c>
      <c r="AE18" s="58">
        <f>IF(wsin,wsin,wsex+6)+crew*(IF(AND(crew=1,msam+msag&gt;=11),75,IF(loa&lt;=4,65,IF(loa&lt;=4.8,70,75))))</f>
        <v>273</v>
      </c>
      <c r="AF18" s="21">
        <f>IF(sas,((sas)*0.15),IF(loa&lt;=4.87,IF(crew=1,14*0.15,17*0.15),IF(loa&lt;=5.8,IF(crew=1,17*0.15,21*0.15),IF(loa&lt;=6.71,IF(crew=1,20*0.15,25*0.15),0))))</f>
        <v>2.625</v>
      </c>
      <c r="AG18" s="77">
        <f>IF(AND(ars&lt;0.75*(AND(ars&gt;0)),(sas/msam&gt;0.75)),(sas*(12/ars^1.1)*0.01),0)</f>
        <v>0</v>
      </c>
      <c r="AH18" s="114">
        <f t="shared" si="50"/>
        <v>1</v>
      </c>
      <c r="AI18" s="59">
        <f>100/(1.15*rl^0.3*(rsam+rsag)^0.4/rwex^0.325)*corcb</f>
        <v>105.28520531670198</v>
      </c>
      <c r="AJ18" s="59">
        <f>100/(1.15*rl^0.3*rsa^0.4/rwin^0.325)*corcb</f>
        <v>101.12326106458856</v>
      </c>
      <c r="AK18" s="55"/>
      <c r="AL18" s="55">
        <v>2.06</v>
      </c>
      <c r="AM18" s="21">
        <f>AK18*AL18*0.5</f>
        <v>0</v>
      </c>
      <c r="AN18" s="55">
        <v>8.48</v>
      </c>
      <c r="AO18" s="55"/>
      <c r="AP18" s="21">
        <f>AN18*AO18*2/3</f>
        <v>0</v>
      </c>
      <c r="AQ18" s="55"/>
      <c r="AR18" s="55">
        <v>0</v>
      </c>
      <c r="AS18" s="21">
        <f>AQ18*AR18*2/3</f>
        <v>0</v>
      </c>
      <c r="AT18" s="54"/>
      <c r="AU18" s="54"/>
      <c r="AV18" s="21">
        <f>AT18*AU18*0.5</f>
        <v>0</v>
      </c>
      <c r="AW18" s="54"/>
      <c r="AX18" s="54"/>
      <c r="AY18" s="21">
        <f>AW18*AX18*0.5</f>
        <v>0</v>
      </c>
      <c r="AZ18" s="54"/>
      <c r="BA18" s="54"/>
      <c r="BB18" s="21">
        <f>AZ18*BA18*2/3</f>
        <v>0</v>
      </c>
      <c r="BC18" s="54"/>
      <c r="BD18" s="54"/>
      <c r="BE18" s="21">
        <f>BC18*BD18*2/3</f>
        <v>0</v>
      </c>
      <c r="BF18" s="55"/>
      <c r="BG18" s="55"/>
      <c r="BH18" s="21">
        <f>BF18*BG18*0.5</f>
        <v>0</v>
      </c>
      <c r="BI18" s="55"/>
      <c r="BJ18" s="55"/>
      <c r="BK18" s="21">
        <f>BI18*BJ18*2/3</f>
        <v>0</v>
      </c>
      <c r="BL18" s="55"/>
      <c r="BM18" s="55"/>
      <c r="BN18" s="21">
        <f>BL18*BM18*0.5</f>
        <v>0</v>
      </c>
      <c r="BO18" s="55"/>
      <c r="BP18" s="55"/>
      <c r="BQ18" s="21">
        <f>BO18*BP18*0.5</f>
        <v>0</v>
      </c>
      <c r="BR18" s="55"/>
      <c r="BS18" s="21">
        <f>AM18+AP18+AS18+AV18+AY18+BB18+BE18+BH18+BK18+BN18+BQ18</f>
        <v>0</v>
      </c>
      <c r="BT18" s="56">
        <v>0</v>
      </c>
      <c r="BU18" s="56"/>
      <c r="BV18" s="21">
        <f>BT18*BU18*0.5</f>
        <v>0</v>
      </c>
      <c r="BW18" s="77">
        <f>BT18-CF18</f>
        <v>0</v>
      </c>
      <c r="BX18" s="55"/>
      <c r="BY18" s="21">
        <f>BW18*BX18*2/3</f>
        <v>0</v>
      </c>
      <c r="BZ18" s="55"/>
      <c r="CA18" s="55"/>
      <c r="CB18" s="21">
        <f>BZ18*CA18*2/3</f>
        <v>0</v>
      </c>
      <c r="CC18" s="54"/>
      <c r="CD18" s="54"/>
      <c r="CE18" s="21">
        <f>CC18*CD18*2/3</f>
        <v>0</v>
      </c>
      <c r="CF18" s="21"/>
      <c r="CG18" s="21"/>
      <c r="CH18" s="21">
        <f>CF18*CG18*0.5</f>
        <v>0</v>
      </c>
      <c r="CI18" s="25">
        <f>BV18+BY18+CB18+CE18+CH18+DG18</f>
        <v>3.7</v>
      </c>
      <c r="CJ18" s="54"/>
      <c r="CK18" s="21">
        <f>MastLength*circMast*0.5</f>
        <v>0</v>
      </c>
      <c r="CL18" s="55"/>
      <c r="CM18" s="55"/>
      <c r="CN18" s="60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21">
        <f>(CT18+4*CU18+2*CV18+4*CW18+CX18)*AN18/12</f>
        <v>0</v>
      </c>
      <c r="CZ18" s="56"/>
      <c r="DA18" s="56"/>
      <c r="DB18" s="56"/>
      <c r="DC18" s="56"/>
      <c r="DD18" s="61">
        <f>IF(CZ18,DC18/CZ18,smg_sf_no_details)</f>
        <v>0</v>
      </c>
      <c r="DE18" s="21">
        <f>IF(CZ18,CZ18*(DA18+DB18)/4+(DC18-CZ18/2)*(DA18+DB18)/3,sas_no_details)</f>
        <v>17.5</v>
      </c>
      <c r="DF18" s="55">
        <v>15</v>
      </c>
      <c r="DG18" s="55">
        <v>3.7</v>
      </c>
      <c r="DH18" s="55">
        <v>5.64</v>
      </c>
      <c r="DI18" s="55">
        <v>17.5</v>
      </c>
      <c r="DJ18" s="104"/>
      <c r="DK18" s="53" t="s">
        <v>129</v>
      </c>
      <c r="DM18" s="58">
        <f t="shared" si="43"/>
        <v>763.78092241919978</v>
      </c>
      <c r="DN18" s="58">
        <f>IF(wsex,0.5*wsex*width+(rwex-wsex)*width+trapeze*(rwex-wsex)/crew,0.5*(wsin-6)*width+(rwin-wsin)*width+trapeze*(rwin-wsin)/crew)</f>
        <v>671.25</v>
      </c>
      <c r="DO18" s="21">
        <f>righting/heeling</f>
        <v>0.8788514877720206</v>
      </c>
      <c r="DP18" s="62">
        <f t="shared" si="46"/>
        <v>1.014306703795635</v>
      </c>
      <c r="DQ18" s="7" t="s">
        <v>130</v>
      </c>
      <c r="DR18" s="107" t="str">
        <f t="shared" si="47"/>
        <v>yes</v>
      </c>
    </row>
    <row r="19" spans="1:122" ht="12.75" customHeight="1" x14ac:dyDescent="0.2">
      <c r="A19" s="53" t="s">
        <v>144</v>
      </c>
      <c r="B19" s="54">
        <v>1</v>
      </c>
      <c r="C19" s="92">
        <f t="shared" si="0"/>
        <v>122.11087384059837</v>
      </c>
      <c r="D19" s="92">
        <f t="shared" si="1"/>
        <v>112.31784922471792</v>
      </c>
      <c r="E19" s="92">
        <f>VLOOKUP(A19,[3]TRTOTAL!$A$7:$D$313,3,FALSE)</f>
        <v>122.11087384059837</v>
      </c>
      <c r="F19" s="92">
        <f>VLOOKUP(A19,[3]TRTOTAL!$A$7:$D$313,4,FALSE)</f>
        <v>112.31784922471792</v>
      </c>
      <c r="G19" s="92">
        <f t="shared" si="48"/>
        <v>0</v>
      </c>
      <c r="H19" s="92">
        <f t="shared" si="49"/>
        <v>0</v>
      </c>
      <c r="I19" s="54">
        <v>5</v>
      </c>
      <c r="J19" s="56">
        <v>5</v>
      </c>
      <c r="K19" s="54">
        <v>2.25</v>
      </c>
      <c r="L19" s="57">
        <v>1</v>
      </c>
      <c r="M19" s="57">
        <v>100</v>
      </c>
      <c r="N19" s="57"/>
      <c r="O19" s="87"/>
      <c r="P19" s="24">
        <f t="shared" si="2"/>
        <v>10</v>
      </c>
      <c r="Q19" s="24">
        <f t="shared" si="3"/>
        <v>6.5</v>
      </c>
      <c r="R19" s="24">
        <f t="shared" si="4"/>
        <v>0</v>
      </c>
      <c r="S19" s="87">
        <v>7.2</v>
      </c>
      <c r="T19" s="21">
        <f t="shared" si="5"/>
        <v>0</v>
      </c>
      <c r="U19" s="21"/>
      <c r="V19" s="24">
        <f t="shared" si="6"/>
        <v>1.95</v>
      </c>
      <c r="W19" s="24">
        <f t="shared" si="7"/>
        <v>2.11</v>
      </c>
      <c r="X19" s="24">
        <f t="shared" si="8"/>
        <v>2.2461310392848319</v>
      </c>
      <c r="Y19" s="25">
        <f t="shared" si="9"/>
        <v>1</v>
      </c>
      <c r="Z19" s="24">
        <f t="shared" si="10"/>
        <v>8.5409332851288138</v>
      </c>
      <c r="AA19" s="21">
        <f t="shared" si="11"/>
        <v>0</v>
      </c>
      <c r="AB19" s="24">
        <f t="shared" si="12"/>
        <v>0</v>
      </c>
      <c r="AC19" s="24">
        <f t="shared" si="13"/>
        <v>11.090933285128813</v>
      </c>
      <c r="AD19" s="58">
        <f t="shared" si="14"/>
        <v>175</v>
      </c>
      <c r="AE19" s="58">
        <f t="shared" si="15"/>
        <v>181</v>
      </c>
      <c r="AF19" s="21">
        <f t="shared" si="16"/>
        <v>2.5499999999999998</v>
      </c>
      <c r="AG19" s="77">
        <f t="shared" si="17"/>
        <v>0</v>
      </c>
      <c r="AH19" s="114">
        <f t="shared" si="50"/>
        <v>1</v>
      </c>
      <c r="AI19" s="59">
        <f t="shared" si="18"/>
        <v>121.89794729438412</v>
      </c>
      <c r="AJ19" s="59">
        <f t="shared" si="19"/>
        <v>111.0118801199261</v>
      </c>
      <c r="AK19" s="55"/>
      <c r="AL19" s="55"/>
      <c r="AM19" s="21">
        <f t="shared" si="20"/>
        <v>0</v>
      </c>
      <c r="AN19" s="54">
        <v>6.5</v>
      </c>
      <c r="AO19" s="55"/>
      <c r="AP19" s="21">
        <f t="shared" si="21"/>
        <v>0</v>
      </c>
      <c r="AQ19" s="55"/>
      <c r="AR19" s="55"/>
      <c r="AS19" s="21">
        <f t="shared" si="22"/>
        <v>0</v>
      </c>
      <c r="AT19" s="54"/>
      <c r="AU19" s="54"/>
      <c r="AV19" s="21">
        <f t="shared" si="23"/>
        <v>0</v>
      </c>
      <c r="AW19" s="54"/>
      <c r="AX19" s="54"/>
      <c r="AY19" s="21">
        <f t="shared" si="24"/>
        <v>0</v>
      </c>
      <c r="AZ19" s="54"/>
      <c r="BA19" s="54"/>
      <c r="BB19" s="21">
        <f t="shared" si="25"/>
        <v>0</v>
      </c>
      <c r="BC19" s="54"/>
      <c r="BD19" s="54"/>
      <c r="BE19" s="21">
        <f t="shared" si="26"/>
        <v>0</v>
      </c>
      <c r="BF19" s="55"/>
      <c r="BG19" s="55"/>
      <c r="BH19" s="21">
        <f t="shared" si="27"/>
        <v>0</v>
      </c>
      <c r="BI19" s="55"/>
      <c r="BJ19" s="55"/>
      <c r="BK19" s="21">
        <f t="shared" si="28"/>
        <v>0</v>
      </c>
      <c r="BL19" s="55"/>
      <c r="BM19" s="55"/>
      <c r="BN19" s="21">
        <f t="shared" si="29"/>
        <v>0</v>
      </c>
      <c r="BO19" s="55"/>
      <c r="BP19" s="55"/>
      <c r="BQ19" s="21">
        <f t="shared" si="30"/>
        <v>0</v>
      </c>
      <c r="BR19" s="55"/>
      <c r="BS19" s="21">
        <f t="shared" si="31"/>
        <v>0</v>
      </c>
      <c r="BT19" s="56">
        <v>0</v>
      </c>
      <c r="BU19" s="56"/>
      <c r="BV19" s="21">
        <f t="shared" si="32"/>
        <v>0</v>
      </c>
      <c r="BW19" s="77">
        <f t="shared" si="33"/>
        <v>0</v>
      </c>
      <c r="BX19" s="55"/>
      <c r="BY19" s="21">
        <f t="shared" si="34"/>
        <v>0</v>
      </c>
      <c r="BZ19" s="55"/>
      <c r="CA19" s="55"/>
      <c r="CB19" s="21">
        <f t="shared" si="35"/>
        <v>0</v>
      </c>
      <c r="CC19" s="54"/>
      <c r="CD19" s="54"/>
      <c r="CE19" s="21">
        <f t="shared" si="36"/>
        <v>0</v>
      </c>
      <c r="CF19" s="21"/>
      <c r="CG19" s="21"/>
      <c r="CH19" s="21">
        <f t="shared" si="37"/>
        <v>0</v>
      </c>
      <c r="CI19" s="25">
        <f t="shared" si="38"/>
        <v>0</v>
      </c>
      <c r="CJ19" s="54"/>
      <c r="CK19" s="21">
        <f t="shared" si="39"/>
        <v>0</v>
      </c>
      <c r="CL19" s="55"/>
      <c r="CM19" s="55"/>
      <c r="CN19" s="60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21">
        <f t="shared" si="40"/>
        <v>0</v>
      </c>
      <c r="CZ19" s="56"/>
      <c r="DA19" s="56"/>
      <c r="DB19" s="56"/>
      <c r="DC19" s="56"/>
      <c r="DD19" s="61">
        <f t="shared" si="41"/>
        <v>0</v>
      </c>
      <c r="DE19" s="21">
        <f t="shared" si="42"/>
        <v>0</v>
      </c>
      <c r="DF19" s="55">
        <v>10</v>
      </c>
      <c r="DG19" s="55"/>
      <c r="DH19" s="55"/>
      <c r="DI19" s="55"/>
      <c r="DJ19" s="104"/>
      <c r="DK19" s="53"/>
      <c r="DM19" s="58">
        <f t="shared" si="43"/>
        <v>361.9472639999999</v>
      </c>
      <c r="DN19" s="58">
        <f t="shared" si="44"/>
        <v>356.25</v>
      </c>
      <c r="DO19" s="21">
        <f t="shared" si="45"/>
        <v>0.98425940857505723</v>
      </c>
      <c r="DP19" s="62">
        <f t="shared" si="46"/>
        <v>1.0017467607202608</v>
      </c>
      <c r="DQ19" s="7" t="s">
        <v>130</v>
      </c>
      <c r="DR19" s="107">
        <f t="shared" si="47"/>
        <v>0</v>
      </c>
    </row>
    <row r="20" spans="1:122" ht="12.75" customHeight="1" x14ac:dyDescent="0.2">
      <c r="A20" s="53" t="s">
        <v>145</v>
      </c>
      <c r="B20" s="54">
        <v>2</v>
      </c>
      <c r="C20" s="92">
        <f t="shared" si="0"/>
        <v>104.34078404911891</v>
      </c>
      <c r="D20" s="92">
        <f t="shared" si="1"/>
        <v>99.922063253373238</v>
      </c>
      <c r="E20" s="92">
        <f>VLOOKUP(A20,[3]TRTOTAL!$A$7:$D$313,3,FALSE)</f>
        <v>104.91742812487391</v>
      </c>
      <c r="F20" s="92">
        <f>VLOOKUP(A20,[3]TRTOTAL!$A$7:$D$313,4,FALSE)</f>
        <v>100.33161247468</v>
      </c>
      <c r="G20" s="92">
        <f t="shared" si="48"/>
        <v>-0.57664407575499865</v>
      </c>
      <c r="H20" s="92">
        <f t="shared" si="49"/>
        <v>-0.40954922130676152</v>
      </c>
      <c r="I20" s="54">
        <v>5.52</v>
      </c>
      <c r="J20" s="56">
        <v>5.52</v>
      </c>
      <c r="K20" s="54">
        <v>2.6</v>
      </c>
      <c r="L20" s="57">
        <v>2</v>
      </c>
      <c r="M20" s="57"/>
      <c r="N20" s="57">
        <v>180</v>
      </c>
      <c r="O20" s="87"/>
      <c r="P20" s="24">
        <f t="shared" si="2"/>
        <v>17</v>
      </c>
      <c r="Q20" s="24">
        <f t="shared" si="3"/>
        <v>9.0500000000000007</v>
      </c>
      <c r="R20" s="24">
        <f t="shared" si="4"/>
        <v>4.3</v>
      </c>
      <c r="S20" s="87">
        <v>9.0500000000000007</v>
      </c>
      <c r="T20" s="21">
        <f t="shared" si="5"/>
        <v>5.5</v>
      </c>
      <c r="U20" s="21">
        <v>2.1</v>
      </c>
      <c r="V20" s="24">
        <f t="shared" si="6"/>
        <v>2.1</v>
      </c>
      <c r="W20" s="24">
        <f t="shared" si="7"/>
        <v>2.2600000000000002</v>
      </c>
      <c r="X20" s="24">
        <f t="shared" si="8"/>
        <v>3.3283734043386315</v>
      </c>
      <c r="Y20" s="25">
        <f t="shared" si="9"/>
        <v>1</v>
      </c>
      <c r="Z20" s="24">
        <f t="shared" si="10"/>
        <v>16.337791034816128</v>
      </c>
      <c r="AA20" s="21">
        <f t="shared" si="11"/>
        <v>0</v>
      </c>
      <c r="AB20" s="24">
        <f t="shared" si="12"/>
        <v>3.87</v>
      </c>
      <c r="AC20" s="24">
        <f t="shared" si="13"/>
        <v>22.854691034816128</v>
      </c>
      <c r="AD20" s="58">
        <f t="shared" si="14"/>
        <v>324</v>
      </c>
      <c r="AE20" s="58">
        <f t="shared" si="15"/>
        <v>330</v>
      </c>
      <c r="AF20" s="21">
        <f t="shared" si="16"/>
        <v>3.15</v>
      </c>
      <c r="AG20" s="77">
        <f t="shared" si="17"/>
        <v>0</v>
      </c>
      <c r="AH20" s="114">
        <f t="shared" si="50"/>
        <v>1</v>
      </c>
      <c r="AI20" s="59">
        <f t="shared" si="18"/>
        <v>102.43303194979761</v>
      </c>
      <c r="AJ20" s="59">
        <f t="shared" si="19"/>
        <v>98.095102418476685</v>
      </c>
      <c r="AK20" s="55"/>
      <c r="AL20" s="55"/>
      <c r="AM20" s="21">
        <f t="shared" si="20"/>
        <v>0</v>
      </c>
      <c r="AN20" s="54">
        <v>9.0500000000000007</v>
      </c>
      <c r="AO20" s="55"/>
      <c r="AP20" s="21">
        <f t="shared" si="21"/>
        <v>0</v>
      </c>
      <c r="AQ20" s="55"/>
      <c r="AR20" s="55"/>
      <c r="AS20" s="21">
        <f t="shared" si="22"/>
        <v>0</v>
      </c>
      <c r="AT20" s="54"/>
      <c r="AU20" s="54"/>
      <c r="AV20" s="21">
        <f t="shared" si="23"/>
        <v>0</v>
      </c>
      <c r="AW20" s="54"/>
      <c r="AX20" s="54"/>
      <c r="AY20" s="21">
        <f t="shared" si="24"/>
        <v>0</v>
      </c>
      <c r="AZ20" s="54"/>
      <c r="BA20" s="54"/>
      <c r="BB20" s="21">
        <f t="shared" si="25"/>
        <v>0</v>
      </c>
      <c r="BC20" s="54"/>
      <c r="BD20" s="54"/>
      <c r="BE20" s="21">
        <f t="shared" si="26"/>
        <v>0</v>
      </c>
      <c r="BF20" s="55"/>
      <c r="BG20" s="55"/>
      <c r="BH20" s="21">
        <f t="shared" si="27"/>
        <v>0</v>
      </c>
      <c r="BI20" s="55"/>
      <c r="BJ20" s="55"/>
      <c r="BK20" s="21">
        <f t="shared" si="28"/>
        <v>0</v>
      </c>
      <c r="BL20" s="55"/>
      <c r="BM20" s="55"/>
      <c r="BN20" s="21">
        <f t="shared" si="29"/>
        <v>0</v>
      </c>
      <c r="BO20" s="55"/>
      <c r="BP20" s="55"/>
      <c r="BQ20" s="21">
        <f t="shared" si="30"/>
        <v>0</v>
      </c>
      <c r="BR20" s="55"/>
      <c r="BS20" s="21">
        <f t="shared" si="31"/>
        <v>0</v>
      </c>
      <c r="BT20" s="56">
        <v>0</v>
      </c>
      <c r="BU20" s="56"/>
      <c r="BV20" s="21">
        <f t="shared" si="32"/>
        <v>0</v>
      </c>
      <c r="BW20" s="77">
        <f t="shared" si="33"/>
        <v>0</v>
      </c>
      <c r="BX20" s="55"/>
      <c r="BY20" s="21">
        <f t="shared" si="34"/>
        <v>0</v>
      </c>
      <c r="BZ20" s="55"/>
      <c r="CA20" s="55"/>
      <c r="CB20" s="21">
        <f t="shared" si="35"/>
        <v>0</v>
      </c>
      <c r="CC20" s="55"/>
      <c r="CD20" s="55"/>
      <c r="CE20" s="21">
        <f t="shared" si="36"/>
        <v>0</v>
      </c>
      <c r="CF20" s="21"/>
      <c r="CG20" s="21"/>
      <c r="CH20" s="21">
        <f t="shared" si="37"/>
        <v>0</v>
      </c>
      <c r="CI20" s="25">
        <f t="shared" si="38"/>
        <v>4.3</v>
      </c>
      <c r="CJ20" s="54"/>
      <c r="CK20" s="21">
        <f t="shared" si="39"/>
        <v>0</v>
      </c>
      <c r="CL20" s="55"/>
      <c r="CM20" s="55"/>
      <c r="CN20" s="60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21">
        <f t="shared" si="40"/>
        <v>0</v>
      </c>
      <c r="CZ20" s="56"/>
      <c r="DA20" s="56"/>
      <c r="DB20" s="56"/>
      <c r="DC20" s="56"/>
      <c r="DD20" s="61">
        <f t="shared" si="41"/>
        <v>0</v>
      </c>
      <c r="DE20" s="21">
        <f t="shared" si="42"/>
        <v>21</v>
      </c>
      <c r="DF20" s="55">
        <v>17</v>
      </c>
      <c r="DG20" s="55">
        <v>4.3</v>
      </c>
      <c r="DH20" s="55">
        <v>5.5</v>
      </c>
      <c r="DI20" s="55">
        <v>21</v>
      </c>
      <c r="DJ20" s="104"/>
      <c r="DK20" s="53" t="s">
        <v>129</v>
      </c>
      <c r="DM20" s="58">
        <f t="shared" si="43"/>
        <v>906.14419392000002</v>
      </c>
      <c r="DN20" s="58">
        <f t="shared" si="44"/>
        <v>766.2</v>
      </c>
      <c r="DO20" s="21">
        <f t="shared" si="45"/>
        <v>0.8455607894869378</v>
      </c>
      <c r="DP20" s="62">
        <f t="shared" si="46"/>
        <v>1.0186243837852647</v>
      </c>
      <c r="DQ20" s="7" t="s">
        <v>130</v>
      </c>
      <c r="DR20" s="107" t="str">
        <f t="shared" si="47"/>
        <v>yes</v>
      </c>
    </row>
    <row r="21" spans="1:122" ht="12.75" customHeight="1" x14ac:dyDescent="0.2">
      <c r="A21" s="53" t="s">
        <v>146</v>
      </c>
      <c r="B21" s="54">
        <v>2</v>
      </c>
      <c r="C21" s="92">
        <f t="shared" si="0"/>
        <v>110.04178632673722</v>
      </c>
      <c r="D21" s="92">
        <f t="shared" si="1"/>
        <v>105.16183892669993</v>
      </c>
      <c r="E21" s="92">
        <f>VLOOKUP(A21,[3]TRTOTAL!$A$7:$D$313,3,FALSE)</f>
        <v>110.04178632673722</v>
      </c>
      <c r="F21" s="92">
        <f>VLOOKUP(A21,[3]TRTOTAL!$A$7:$D$313,4,FALSE)</f>
        <v>105.16183892669993</v>
      </c>
      <c r="G21" s="92">
        <f t="shared" si="48"/>
        <v>0</v>
      </c>
      <c r="H21" s="92">
        <f t="shared" si="49"/>
        <v>0</v>
      </c>
      <c r="I21" s="54">
        <v>5.5</v>
      </c>
      <c r="J21" s="56">
        <v>5.5</v>
      </c>
      <c r="K21" s="54">
        <v>2.5</v>
      </c>
      <c r="L21" s="57">
        <v>2</v>
      </c>
      <c r="M21" s="57">
        <v>177</v>
      </c>
      <c r="N21" s="57"/>
      <c r="O21" s="87"/>
      <c r="P21" s="24">
        <f t="shared" si="2"/>
        <v>14.449874999999999</v>
      </c>
      <c r="Q21" s="24">
        <f t="shared" si="3"/>
        <v>8.0449999999999999</v>
      </c>
      <c r="R21" s="24">
        <f t="shared" si="4"/>
        <v>4.2679249999999991</v>
      </c>
      <c r="S21" s="87">
        <v>8.5</v>
      </c>
      <c r="T21" s="21">
        <f t="shared" si="5"/>
        <v>5.4989999999999997</v>
      </c>
      <c r="U21" s="21"/>
      <c r="V21" s="24">
        <f t="shared" si="6"/>
        <v>2.04</v>
      </c>
      <c r="W21" s="24">
        <f t="shared" si="7"/>
        <v>2.2050000000000001</v>
      </c>
      <c r="X21" s="24">
        <f t="shared" si="8"/>
        <v>2.9719869807333361</v>
      </c>
      <c r="Y21" s="25">
        <f t="shared" si="9"/>
        <v>1</v>
      </c>
      <c r="Z21" s="24">
        <f t="shared" si="10"/>
        <v>13.423104267056598</v>
      </c>
      <c r="AA21" s="21">
        <f t="shared" si="11"/>
        <v>1.7650458535374942</v>
      </c>
      <c r="AB21" s="24">
        <f t="shared" si="12"/>
        <v>3.6439807418700196</v>
      </c>
      <c r="AC21" s="24">
        <f t="shared" si="13"/>
        <v>19.400990012483515</v>
      </c>
      <c r="AD21" s="58">
        <f t="shared" si="14"/>
        <v>327</v>
      </c>
      <c r="AE21" s="58">
        <f t="shared" si="15"/>
        <v>333</v>
      </c>
      <c r="AF21" s="21">
        <f t="shared" si="16"/>
        <v>2.8076224999999999</v>
      </c>
      <c r="AG21" s="77">
        <f t="shared" si="17"/>
        <v>0</v>
      </c>
      <c r="AH21" s="114">
        <f t="shared" si="50"/>
        <v>1</v>
      </c>
      <c r="AI21" s="59">
        <f t="shared" si="18"/>
        <v>110.04178632673722</v>
      </c>
      <c r="AJ21" s="59">
        <f t="shared" si="19"/>
        <v>105.16183892669993</v>
      </c>
      <c r="AK21" s="55">
        <v>8.0449999999999999</v>
      </c>
      <c r="AL21" s="55">
        <v>2.04</v>
      </c>
      <c r="AM21" s="21">
        <f t="shared" si="20"/>
        <v>8.2058999999999997</v>
      </c>
      <c r="AN21" s="54">
        <v>8.0449999999999999</v>
      </c>
      <c r="AO21" s="55">
        <v>0.125</v>
      </c>
      <c r="AP21" s="21">
        <f t="shared" si="21"/>
        <v>0.67041666666666666</v>
      </c>
      <c r="AQ21" s="55"/>
      <c r="AR21" s="55">
        <v>0</v>
      </c>
      <c r="AS21" s="21">
        <f t="shared" si="22"/>
        <v>0</v>
      </c>
      <c r="AT21" s="54">
        <v>7.8949999999999996</v>
      </c>
      <c r="AU21" s="54">
        <v>0.77</v>
      </c>
      <c r="AV21" s="21">
        <f t="shared" si="23"/>
        <v>3.0395749999999997</v>
      </c>
      <c r="AW21" s="54">
        <v>2.08</v>
      </c>
      <c r="AX21" s="54">
        <v>0.36</v>
      </c>
      <c r="AY21" s="21">
        <f t="shared" si="24"/>
        <v>0.37440000000000001</v>
      </c>
      <c r="AZ21" s="54">
        <v>6.0049999999999999</v>
      </c>
      <c r="BA21" s="54">
        <v>0.16500000000000001</v>
      </c>
      <c r="BB21" s="21">
        <f t="shared" si="25"/>
        <v>0.66055000000000008</v>
      </c>
      <c r="BC21" s="54">
        <v>1.81</v>
      </c>
      <c r="BD21" s="54">
        <v>0.08</v>
      </c>
      <c r="BE21" s="21">
        <f t="shared" si="26"/>
        <v>9.6533333333333346E-2</v>
      </c>
      <c r="BF21" s="55"/>
      <c r="BG21" s="55"/>
      <c r="BH21" s="21">
        <f t="shared" si="27"/>
        <v>0</v>
      </c>
      <c r="BI21" s="55"/>
      <c r="BJ21" s="55"/>
      <c r="BK21" s="21">
        <f t="shared" si="28"/>
        <v>0</v>
      </c>
      <c r="BL21" s="55"/>
      <c r="BM21" s="55"/>
      <c r="BN21" s="21">
        <f t="shared" si="29"/>
        <v>0</v>
      </c>
      <c r="BO21" s="55"/>
      <c r="BP21" s="55"/>
      <c r="BQ21" s="21">
        <f t="shared" si="30"/>
        <v>0</v>
      </c>
      <c r="BR21" s="55"/>
      <c r="BS21" s="21">
        <f t="shared" si="31"/>
        <v>13.047374999999999</v>
      </c>
      <c r="BT21" s="56">
        <v>5.85</v>
      </c>
      <c r="BU21" s="56">
        <v>1.5549999999999999</v>
      </c>
      <c r="BV21" s="21">
        <f t="shared" si="32"/>
        <v>4.5483749999999992</v>
      </c>
      <c r="BW21" s="77">
        <f t="shared" si="33"/>
        <v>5.85</v>
      </c>
      <c r="BX21" s="55"/>
      <c r="BY21" s="21">
        <f t="shared" si="34"/>
        <v>0</v>
      </c>
      <c r="BZ21" s="55">
        <v>5.7750000000000004</v>
      </c>
      <c r="CA21" s="55">
        <v>-8.5000000000000006E-2</v>
      </c>
      <c r="CB21" s="21">
        <f t="shared" si="35"/>
        <v>-0.32725000000000004</v>
      </c>
      <c r="CC21" s="55">
        <v>1.56</v>
      </c>
      <c r="CD21" s="55">
        <v>4.4999999999999998E-2</v>
      </c>
      <c r="CE21" s="21">
        <f t="shared" si="36"/>
        <v>4.6800000000000001E-2</v>
      </c>
      <c r="CF21" s="21"/>
      <c r="CG21" s="21"/>
      <c r="CH21" s="21">
        <f t="shared" si="37"/>
        <v>0</v>
      </c>
      <c r="CI21" s="25">
        <f t="shared" si="38"/>
        <v>4.2679249999999991</v>
      </c>
      <c r="CJ21" s="54">
        <v>0.33</v>
      </c>
      <c r="CK21" s="21">
        <f t="shared" si="39"/>
        <v>1.4025000000000001</v>
      </c>
      <c r="CL21" s="55"/>
      <c r="CM21" s="55" t="s">
        <v>147</v>
      </c>
      <c r="CN21" s="60">
        <v>37060</v>
      </c>
      <c r="CO21" s="55" t="s">
        <v>148</v>
      </c>
      <c r="CP21" s="55">
        <v>15377</v>
      </c>
      <c r="CQ21" s="55">
        <v>15378</v>
      </c>
      <c r="CR21" s="55"/>
      <c r="CS21" s="55"/>
      <c r="CT21" s="55"/>
      <c r="CU21" s="55"/>
      <c r="CV21" s="55"/>
      <c r="CW21" s="55"/>
      <c r="CX21" s="55"/>
      <c r="CY21" s="21">
        <f t="shared" si="40"/>
        <v>0</v>
      </c>
      <c r="CZ21" s="56">
        <v>3.55</v>
      </c>
      <c r="DA21" s="56">
        <v>6.98</v>
      </c>
      <c r="DB21" s="56">
        <v>8.76</v>
      </c>
      <c r="DC21" s="56">
        <v>2.68</v>
      </c>
      <c r="DD21" s="61">
        <f t="shared" si="41"/>
        <v>0.75492957746478884</v>
      </c>
      <c r="DE21" s="21">
        <f t="shared" si="42"/>
        <v>18.717483333333334</v>
      </c>
      <c r="DF21" s="55"/>
      <c r="DG21" s="55"/>
      <c r="DH21" s="55"/>
      <c r="DI21" s="55"/>
      <c r="DJ21" s="104"/>
      <c r="DK21" s="53"/>
      <c r="DM21" s="58">
        <f t="shared" si="43"/>
        <v>730.56443102112257</v>
      </c>
      <c r="DN21" s="58">
        <f t="shared" si="44"/>
        <v>746.25</v>
      </c>
      <c r="DO21" s="21">
        <f t="shared" si="45"/>
        <v>1.0214704799643113</v>
      </c>
      <c r="DP21" s="62">
        <f t="shared" si="46"/>
        <v>1</v>
      </c>
      <c r="DQ21" s="7">
        <v>0</v>
      </c>
      <c r="DR21" s="107">
        <f t="shared" si="47"/>
        <v>0</v>
      </c>
    </row>
    <row r="22" spans="1:122" ht="12.75" customHeight="1" x14ac:dyDescent="0.2">
      <c r="A22" s="53" t="s">
        <v>149</v>
      </c>
      <c r="B22" s="54">
        <v>2</v>
      </c>
      <c r="C22" s="92">
        <f t="shared" si="0"/>
        <v>105.21530382678715</v>
      </c>
      <c r="D22" s="92">
        <f t="shared" si="1"/>
        <v>99.512234810923317</v>
      </c>
      <c r="E22" s="92">
        <f>VLOOKUP(A22,[3]TRTOTAL!$A$7:$D$313,3,FALSE)</f>
        <v>105.21530382678715</v>
      </c>
      <c r="F22" s="92">
        <f>VLOOKUP(A22,[3]TRTOTAL!$A$7:$D$313,4,FALSE)</f>
        <v>99.512234810923317</v>
      </c>
      <c r="G22" s="92">
        <f t="shared" si="48"/>
        <v>0</v>
      </c>
      <c r="H22" s="92">
        <f t="shared" si="49"/>
        <v>0</v>
      </c>
      <c r="I22" s="54">
        <v>4.97</v>
      </c>
      <c r="J22" s="56">
        <v>4.96</v>
      </c>
      <c r="K22" s="54">
        <v>2.5</v>
      </c>
      <c r="L22" s="57">
        <v>2</v>
      </c>
      <c r="M22" s="57"/>
      <c r="N22" s="57">
        <v>94</v>
      </c>
      <c r="O22" s="87"/>
      <c r="P22" s="24">
        <f t="shared" si="2"/>
        <v>14.109249999999999</v>
      </c>
      <c r="Q22" s="24">
        <f t="shared" si="3"/>
        <v>6.87</v>
      </c>
      <c r="R22" s="24">
        <f t="shared" si="4"/>
        <v>3.36</v>
      </c>
      <c r="S22" s="87">
        <v>7.3</v>
      </c>
      <c r="T22" s="21">
        <f t="shared" si="5"/>
        <v>3.8727999999999998</v>
      </c>
      <c r="U22" s="21"/>
      <c r="V22" s="24">
        <f t="shared" si="6"/>
        <v>2.0609999999999999</v>
      </c>
      <c r="W22" s="24">
        <f t="shared" si="7"/>
        <v>2.2334999999999998</v>
      </c>
      <c r="X22" s="24">
        <f t="shared" si="8"/>
        <v>2.8283426018596995</v>
      </c>
      <c r="Y22" s="25">
        <f t="shared" si="9"/>
        <v>1</v>
      </c>
      <c r="Z22" s="24">
        <f t="shared" si="10"/>
        <v>12.91333256969819</v>
      </c>
      <c r="AA22" s="21">
        <f t="shared" si="11"/>
        <v>0</v>
      </c>
      <c r="AB22" s="24">
        <f t="shared" si="12"/>
        <v>3.024</v>
      </c>
      <c r="AC22" s="24">
        <f t="shared" si="13"/>
        <v>18.694212569698188</v>
      </c>
      <c r="AD22" s="58">
        <f t="shared" si="14"/>
        <v>238</v>
      </c>
      <c r="AE22" s="58">
        <f t="shared" si="15"/>
        <v>244</v>
      </c>
      <c r="AF22" s="21">
        <f t="shared" si="16"/>
        <v>3.15</v>
      </c>
      <c r="AG22" s="77">
        <f t="shared" si="17"/>
        <v>0</v>
      </c>
      <c r="AH22" s="114">
        <f t="shared" si="50"/>
        <v>1</v>
      </c>
      <c r="AI22" s="59">
        <f t="shared" si="18"/>
        <v>105.21530382678715</v>
      </c>
      <c r="AJ22" s="59">
        <f t="shared" si="19"/>
        <v>99.512234810923317</v>
      </c>
      <c r="AK22" s="55"/>
      <c r="AL22" s="55"/>
      <c r="AM22" s="21">
        <f t="shared" si="20"/>
        <v>0</v>
      </c>
      <c r="AN22" s="54">
        <v>6.87</v>
      </c>
      <c r="AO22" s="55"/>
      <c r="AP22" s="21">
        <f t="shared" si="21"/>
        <v>0</v>
      </c>
      <c r="AQ22" s="55">
        <v>0</v>
      </c>
      <c r="AR22" s="55">
        <v>0</v>
      </c>
      <c r="AS22" s="21">
        <f t="shared" si="22"/>
        <v>0</v>
      </c>
      <c r="AT22" s="54"/>
      <c r="AU22" s="54"/>
      <c r="AV22" s="21">
        <f t="shared" si="23"/>
        <v>0</v>
      </c>
      <c r="AW22" s="54"/>
      <c r="AX22" s="54"/>
      <c r="AY22" s="21">
        <f t="shared" si="24"/>
        <v>0</v>
      </c>
      <c r="AZ22" s="54"/>
      <c r="BA22" s="54"/>
      <c r="BB22" s="21">
        <f t="shared" si="25"/>
        <v>0</v>
      </c>
      <c r="BC22" s="54">
        <v>0</v>
      </c>
      <c r="BD22" s="54">
        <v>0</v>
      </c>
      <c r="BE22" s="21">
        <f t="shared" si="26"/>
        <v>0</v>
      </c>
      <c r="BF22" s="55"/>
      <c r="BG22" s="55"/>
      <c r="BH22" s="21">
        <f t="shared" si="27"/>
        <v>0</v>
      </c>
      <c r="BI22" s="55">
        <v>0</v>
      </c>
      <c r="BJ22" s="55">
        <v>0</v>
      </c>
      <c r="BK22" s="21">
        <f t="shared" si="28"/>
        <v>0</v>
      </c>
      <c r="BL22" s="55">
        <v>0</v>
      </c>
      <c r="BM22" s="55">
        <v>0</v>
      </c>
      <c r="BN22" s="21">
        <f t="shared" si="29"/>
        <v>0</v>
      </c>
      <c r="BO22" s="55">
        <v>0</v>
      </c>
      <c r="BP22" s="55">
        <v>0</v>
      </c>
      <c r="BQ22" s="21">
        <f t="shared" si="30"/>
        <v>0</v>
      </c>
      <c r="BR22" s="55">
        <v>0</v>
      </c>
      <c r="BS22" s="21">
        <f t="shared" si="31"/>
        <v>0</v>
      </c>
      <c r="BT22" s="56">
        <v>4.12</v>
      </c>
      <c r="BU22" s="56"/>
      <c r="BV22" s="21">
        <f t="shared" si="32"/>
        <v>0</v>
      </c>
      <c r="BW22" s="77">
        <f t="shared" si="33"/>
        <v>4.12</v>
      </c>
      <c r="BX22" s="55"/>
      <c r="BY22" s="21">
        <f t="shared" si="34"/>
        <v>0</v>
      </c>
      <c r="BZ22" s="55"/>
      <c r="CA22" s="55"/>
      <c r="CB22" s="21">
        <f t="shared" si="35"/>
        <v>0</v>
      </c>
      <c r="CC22" s="54"/>
      <c r="CD22" s="54"/>
      <c r="CE22" s="21">
        <f t="shared" si="36"/>
        <v>0</v>
      </c>
      <c r="CF22" s="21"/>
      <c r="CG22" s="21"/>
      <c r="CH22" s="21">
        <f t="shared" si="37"/>
        <v>0</v>
      </c>
      <c r="CI22" s="25">
        <f t="shared" si="38"/>
        <v>3.36</v>
      </c>
      <c r="CJ22" s="54">
        <v>0.34499999999999997</v>
      </c>
      <c r="CK22" s="21">
        <f t="shared" si="39"/>
        <v>1.25925</v>
      </c>
      <c r="CL22" s="55"/>
      <c r="CM22" s="55"/>
      <c r="CN22" s="60">
        <v>37653</v>
      </c>
      <c r="CO22" s="55"/>
      <c r="CP22" s="55">
        <v>0</v>
      </c>
      <c r="CQ22" s="55">
        <v>0</v>
      </c>
      <c r="CR22" s="55">
        <v>0</v>
      </c>
      <c r="CS22" s="55">
        <v>0</v>
      </c>
      <c r="CT22" s="55"/>
      <c r="CU22" s="55"/>
      <c r="CV22" s="55"/>
      <c r="CW22" s="55"/>
      <c r="CX22" s="55"/>
      <c r="CY22" s="21">
        <f t="shared" si="40"/>
        <v>0</v>
      </c>
      <c r="CZ22" s="56">
        <v>0</v>
      </c>
      <c r="DA22" s="56">
        <v>0</v>
      </c>
      <c r="DB22" s="56">
        <v>0</v>
      </c>
      <c r="DC22" s="56">
        <v>0</v>
      </c>
      <c r="DD22" s="61">
        <f t="shared" si="41"/>
        <v>0</v>
      </c>
      <c r="DE22" s="21">
        <f t="shared" si="42"/>
        <v>0</v>
      </c>
      <c r="DF22" s="55">
        <v>12.85</v>
      </c>
      <c r="DG22" s="55">
        <v>3.36</v>
      </c>
      <c r="DH22" s="55"/>
      <c r="DI22" s="55"/>
      <c r="DJ22" s="104"/>
      <c r="DK22" s="53" t="s">
        <v>129</v>
      </c>
      <c r="DM22" s="58">
        <f t="shared" si="43"/>
        <v>606.23003892837107</v>
      </c>
      <c r="DN22" s="58">
        <f t="shared" si="44"/>
        <v>635</v>
      </c>
      <c r="DO22" s="21">
        <f t="shared" si="45"/>
        <v>1.0474571684413485</v>
      </c>
      <c r="DP22" s="62">
        <f t="shared" si="46"/>
        <v>1</v>
      </c>
      <c r="DQ22" s="7">
        <v>0</v>
      </c>
      <c r="DR22" s="107">
        <f t="shared" si="47"/>
        <v>0</v>
      </c>
    </row>
    <row r="23" spans="1:122" ht="12.75" customHeight="1" x14ac:dyDescent="0.2">
      <c r="A23" s="53" t="s">
        <v>150</v>
      </c>
      <c r="B23" s="54">
        <v>2</v>
      </c>
      <c r="C23" s="92">
        <f t="shared" si="0"/>
        <v>114.21915845998298</v>
      </c>
      <c r="D23" s="92">
        <f t="shared" si="1"/>
        <v>108.26419775752542</v>
      </c>
      <c r="E23" s="92">
        <f>VLOOKUP(A23,[3]TRTOTAL!$A$7:$D$313,3,FALSE)</f>
        <v>114.21915845998298</v>
      </c>
      <c r="F23" s="92">
        <f>VLOOKUP(A23,[3]TRTOTAL!$A$7:$D$313,4,FALSE)</f>
        <v>108.26419775752542</v>
      </c>
      <c r="G23" s="92">
        <f t="shared" si="48"/>
        <v>0</v>
      </c>
      <c r="H23" s="92">
        <f t="shared" si="49"/>
        <v>0</v>
      </c>
      <c r="I23" s="54">
        <v>5</v>
      </c>
      <c r="J23" s="56">
        <v>4.87</v>
      </c>
      <c r="K23" s="54">
        <v>2.2999999999999998</v>
      </c>
      <c r="L23" s="57">
        <v>1</v>
      </c>
      <c r="M23" s="57">
        <v>146</v>
      </c>
      <c r="N23" s="57"/>
      <c r="O23" s="87"/>
      <c r="P23" s="24">
        <f t="shared" si="2"/>
        <v>12.75</v>
      </c>
      <c r="Q23" s="24">
        <f t="shared" si="3"/>
        <v>6.9</v>
      </c>
      <c r="R23" s="24">
        <f t="shared" si="4"/>
        <v>5</v>
      </c>
      <c r="S23" s="87">
        <v>8</v>
      </c>
      <c r="T23" s="21">
        <f t="shared" si="5"/>
        <v>4.5999999999999996</v>
      </c>
      <c r="U23" s="21"/>
      <c r="V23" s="24">
        <f t="shared" si="6"/>
        <v>2.0699999999999998</v>
      </c>
      <c r="W23" s="24">
        <f t="shared" si="7"/>
        <v>2.23</v>
      </c>
      <c r="X23" s="24">
        <f t="shared" si="8"/>
        <v>2.5638963180437973</v>
      </c>
      <c r="Y23" s="25">
        <f t="shared" si="9"/>
        <v>1</v>
      </c>
      <c r="Z23" s="24">
        <f t="shared" si="10"/>
        <v>11.330657840772204</v>
      </c>
      <c r="AA23" s="21">
        <f t="shared" si="11"/>
        <v>0</v>
      </c>
      <c r="AB23" s="24">
        <f t="shared" si="12"/>
        <v>4.5</v>
      </c>
      <c r="AC23" s="24">
        <f t="shared" si="13"/>
        <v>18.395657840772206</v>
      </c>
      <c r="AD23" s="58">
        <f t="shared" si="14"/>
        <v>296</v>
      </c>
      <c r="AE23" s="58">
        <f t="shared" si="15"/>
        <v>302</v>
      </c>
      <c r="AF23" s="21">
        <f t="shared" si="16"/>
        <v>3.15</v>
      </c>
      <c r="AG23" s="77">
        <f t="shared" si="17"/>
        <v>0</v>
      </c>
      <c r="AH23" s="114">
        <f t="shared" si="50"/>
        <v>1</v>
      </c>
      <c r="AI23" s="59">
        <f t="shared" si="18"/>
        <v>113.87114627479963</v>
      </c>
      <c r="AJ23" s="59">
        <f t="shared" si="19"/>
        <v>107.93432962903698</v>
      </c>
      <c r="AK23" s="55"/>
      <c r="AL23" s="55"/>
      <c r="AM23" s="21">
        <f t="shared" si="20"/>
        <v>0</v>
      </c>
      <c r="AN23" s="54">
        <v>6.9</v>
      </c>
      <c r="AO23" s="55"/>
      <c r="AP23" s="21">
        <f t="shared" si="21"/>
        <v>0</v>
      </c>
      <c r="AQ23" s="55"/>
      <c r="AR23" s="55"/>
      <c r="AS23" s="21">
        <f t="shared" si="22"/>
        <v>0</v>
      </c>
      <c r="AT23" s="54"/>
      <c r="AU23" s="54"/>
      <c r="AV23" s="21">
        <f t="shared" si="23"/>
        <v>0</v>
      </c>
      <c r="AW23" s="54"/>
      <c r="AX23" s="54"/>
      <c r="AY23" s="21">
        <f t="shared" si="24"/>
        <v>0</v>
      </c>
      <c r="AZ23" s="54"/>
      <c r="BA23" s="54"/>
      <c r="BB23" s="21">
        <f t="shared" si="25"/>
        <v>0</v>
      </c>
      <c r="BC23" s="54"/>
      <c r="BD23" s="54"/>
      <c r="BE23" s="21">
        <f t="shared" si="26"/>
        <v>0</v>
      </c>
      <c r="BF23" s="55"/>
      <c r="BG23" s="55"/>
      <c r="BH23" s="21">
        <f t="shared" si="27"/>
        <v>0</v>
      </c>
      <c r="BI23" s="55"/>
      <c r="BJ23" s="55"/>
      <c r="BK23" s="21">
        <f t="shared" si="28"/>
        <v>0</v>
      </c>
      <c r="BL23" s="55"/>
      <c r="BM23" s="55"/>
      <c r="BN23" s="21">
        <f t="shared" si="29"/>
        <v>0</v>
      </c>
      <c r="BO23" s="55"/>
      <c r="BP23" s="55"/>
      <c r="BQ23" s="21">
        <f t="shared" si="30"/>
        <v>0</v>
      </c>
      <c r="BR23" s="55"/>
      <c r="BS23" s="21">
        <f t="shared" si="31"/>
        <v>0</v>
      </c>
      <c r="BT23" s="56">
        <v>0</v>
      </c>
      <c r="BU23" s="56"/>
      <c r="BV23" s="21">
        <f t="shared" si="32"/>
        <v>0</v>
      </c>
      <c r="BW23" s="77">
        <f t="shared" si="33"/>
        <v>0</v>
      </c>
      <c r="BX23" s="55"/>
      <c r="BY23" s="21">
        <f t="shared" si="34"/>
        <v>0</v>
      </c>
      <c r="BZ23" s="55"/>
      <c r="CA23" s="55"/>
      <c r="CB23" s="21">
        <f t="shared" si="35"/>
        <v>0</v>
      </c>
      <c r="CC23" s="55"/>
      <c r="CD23" s="55"/>
      <c r="CE23" s="21">
        <f t="shared" si="36"/>
        <v>0</v>
      </c>
      <c r="CF23" s="21"/>
      <c r="CG23" s="21"/>
      <c r="CH23" s="21">
        <f t="shared" si="37"/>
        <v>0</v>
      </c>
      <c r="CI23" s="25">
        <f t="shared" si="38"/>
        <v>5</v>
      </c>
      <c r="CJ23" s="54"/>
      <c r="CK23" s="21">
        <f t="shared" si="39"/>
        <v>0</v>
      </c>
      <c r="CL23" s="55"/>
      <c r="CM23" s="55"/>
      <c r="CN23" s="60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21">
        <f t="shared" si="40"/>
        <v>0</v>
      </c>
      <c r="CZ23" s="56"/>
      <c r="DA23" s="56"/>
      <c r="DB23" s="56"/>
      <c r="DC23" s="56"/>
      <c r="DD23" s="61">
        <f t="shared" si="41"/>
        <v>0</v>
      </c>
      <c r="DE23" s="21">
        <f t="shared" si="42"/>
        <v>0</v>
      </c>
      <c r="DF23" s="55">
        <v>12.75</v>
      </c>
      <c r="DG23" s="55">
        <v>5</v>
      </c>
      <c r="DH23" s="55">
        <v>4.5999999999999996</v>
      </c>
      <c r="DI23" s="55"/>
      <c r="DJ23" s="104"/>
      <c r="DK23" s="53"/>
      <c r="DM23" s="58">
        <f t="shared" si="43"/>
        <v>604.43737535999992</v>
      </c>
      <c r="DN23" s="58">
        <f t="shared" si="44"/>
        <v>587.9</v>
      </c>
      <c r="DO23" s="21">
        <f t="shared" si="45"/>
        <v>0.9726400516676349</v>
      </c>
      <c r="DP23" s="62">
        <f t="shared" si="46"/>
        <v>1.0030561928685913</v>
      </c>
      <c r="DQ23" s="7" t="s">
        <v>130</v>
      </c>
      <c r="DR23" s="107">
        <f t="shared" si="47"/>
        <v>0</v>
      </c>
    </row>
    <row r="24" spans="1:122" ht="12.75" customHeight="1" x14ac:dyDescent="0.2">
      <c r="A24" s="53" t="s">
        <v>151</v>
      </c>
      <c r="B24" s="54">
        <v>1</v>
      </c>
      <c r="C24" s="92">
        <f t="shared" si="0"/>
        <v>128.27237669703638</v>
      </c>
      <c r="D24" s="92">
        <f t="shared" si="1"/>
        <v>121.62526038888764</v>
      </c>
      <c r="E24" s="92">
        <f>VLOOKUP(A24,[3]TRTOTAL!$A$7:$D$313,3,FALSE)</f>
        <v>128.27237669703638</v>
      </c>
      <c r="F24" s="92">
        <f>VLOOKUP(A24,[3]TRTOTAL!$A$7:$D$313,4,FALSE)</f>
        <v>121.62526038888764</v>
      </c>
      <c r="G24" s="92">
        <f t="shared" si="48"/>
        <v>0</v>
      </c>
      <c r="H24" s="92">
        <f t="shared" si="49"/>
        <v>0</v>
      </c>
      <c r="I24" s="54">
        <v>4.8499999999999996</v>
      </c>
      <c r="J24" s="56">
        <v>4.75</v>
      </c>
      <c r="K24" s="54">
        <v>2.13</v>
      </c>
      <c r="L24" s="57">
        <v>1</v>
      </c>
      <c r="M24" s="57">
        <v>127</v>
      </c>
      <c r="N24" s="57"/>
      <c r="O24" s="55" t="s">
        <v>133</v>
      </c>
      <c r="P24" s="24">
        <f t="shared" si="2"/>
        <v>12.5</v>
      </c>
      <c r="Q24" s="24">
        <f t="shared" si="3"/>
        <v>7.5</v>
      </c>
      <c r="R24" s="24">
        <f t="shared" si="4"/>
        <v>0</v>
      </c>
      <c r="S24" s="87">
        <v>7.9</v>
      </c>
      <c r="T24" s="21">
        <f t="shared" si="5"/>
        <v>0</v>
      </c>
      <c r="U24" s="21"/>
      <c r="V24" s="24">
        <f t="shared" si="6"/>
        <v>2.25</v>
      </c>
      <c r="W24" s="24">
        <f t="shared" si="7"/>
        <v>2.41</v>
      </c>
      <c r="X24" s="24">
        <f t="shared" si="8"/>
        <v>2.152166801535786</v>
      </c>
      <c r="Y24" s="25">
        <f t="shared" si="9"/>
        <v>1</v>
      </c>
      <c r="Z24" s="24">
        <f t="shared" si="10"/>
        <v>10.540169478121051</v>
      </c>
      <c r="AA24" s="21">
        <f t="shared" si="11"/>
        <v>0</v>
      </c>
      <c r="AB24" s="24">
        <f t="shared" si="12"/>
        <v>0</v>
      </c>
      <c r="AC24" s="24">
        <f t="shared" si="13"/>
        <v>12.640169478121051</v>
      </c>
      <c r="AD24" s="58">
        <f t="shared" si="14"/>
        <v>202</v>
      </c>
      <c r="AE24" s="58">
        <f t="shared" si="15"/>
        <v>208</v>
      </c>
      <c r="AF24" s="21">
        <f t="shared" si="16"/>
        <v>2.1</v>
      </c>
      <c r="AG24" s="77">
        <f t="shared" si="17"/>
        <v>0</v>
      </c>
      <c r="AH24" s="114">
        <f t="shared" si="50"/>
        <v>1.04</v>
      </c>
      <c r="AI24" s="59">
        <f t="shared" si="18"/>
        <v>124.00168125321782</v>
      </c>
      <c r="AJ24" s="59">
        <f t="shared" si="19"/>
        <v>116.41175621080626</v>
      </c>
      <c r="AK24" s="55"/>
      <c r="AL24" s="55"/>
      <c r="AM24" s="21">
        <f t="shared" si="20"/>
        <v>0</v>
      </c>
      <c r="AN24" s="54">
        <v>7.5</v>
      </c>
      <c r="AO24" s="55"/>
      <c r="AP24" s="21">
        <f t="shared" si="21"/>
        <v>0</v>
      </c>
      <c r="AQ24" s="55"/>
      <c r="AR24" s="55"/>
      <c r="AS24" s="21">
        <f t="shared" si="22"/>
        <v>0</v>
      </c>
      <c r="AT24" s="54"/>
      <c r="AU24" s="54"/>
      <c r="AV24" s="21">
        <f t="shared" si="23"/>
        <v>0</v>
      </c>
      <c r="AW24" s="54"/>
      <c r="AX24" s="54"/>
      <c r="AY24" s="21">
        <f t="shared" si="24"/>
        <v>0</v>
      </c>
      <c r="AZ24" s="54"/>
      <c r="BA24" s="54"/>
      <c r="BB24" s="21">
        <f t="shared" si="25"/>
        <v>0</v>
      </c>
      <c r="BC24" s="54"/>
      <c r="BD24" s="54"/>
      <c r="BE24" s="21">
        <f t="shared" si="26"/>
        <v>0</v>
      </c>
      <c r="BF24" s="55"/>
      <c r="BG24" s="55"/>
      <c r="BH24" s="21">
        <f t="shared" si="27"/>
        <v>0</v>
      </c>
      <c r="BI24" s="55"/>
      <c r="BJ24" s="55"/>
      <c r="BK24" s="21">
        <f t="shared" si="28"/>
        <v>0</v>
      </c>
      <c r="BL24" s="55"/>
      <c r="BM24" s="55"/>
      <c r="BN24" s="21">
        <f t="shared" si="29"/>
        <v>0</v>
      </c>
      <c r="BO24" s="55"/>
      <c r="BP24" s="55"/>
      <c r="BQ24" s="21">
        <f t="shared" si="30"/>
        <v>0</v>
      </c>
      <c r="BR24" s="55"/>
      <c r="BS24" s="21">
        <f t="shared" si="31"/>
        <v>0</v>
      </c>
      <c r="BT24" s="56">
        <v>0</v>
      </c>
      <c r="BU24" s="56"/>
      <c r="BV24" s="21">
        <f t="shared" si="32"/>
        <v>0</v>
      </c>
      <c r="BW24" s="77">
        <f t="shared" si="33"/>
        <v>0</v>
      </c>
      <c r="BX24" s="55"/>
      <c r="BY24" s="21">
        <f t="shared" si="34"/>
        <v>0</v>
      </c>
      <c r="BZ24" s="55"/>
      <c r="CA24" s="55"/>
      <c r="CB24" s="21">
        <f t="shared" si="35"/>
        <v>0</v>
      </c>
      <c r="CC24" s="55"/>
      <c r="CD24" s="55"/>
      <c r="CE24" s="21">
        <f t="shared" si="36"/>
        <v>0</v>
      </c>
      <c r="CF24" s="21"/>
      <c r="CG24" s="21"/>
      <c r="CH24" s="21">
        <f t="shared" si="37"/>
        <v>0</v>
      </c>
      <c r="CI24" s="25">
        <f t="shared" si="38"/>
        <v>0</v>
      </c>
      <c r="CJ24" s="54"/>
      <c r="CK24" s="21">
        <f t="shared" si="39"/>
        <v>0</v>
      </c>
      <c r="CL24" s="55"/>
      <c r="CM24" s="55"/>
      <c r="CN24" s="60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21">
        <f t="shared" si="40"/>
        <v>0</v>
      </c>
      <c r="CZ24" s="56"/>
      <c r="DA24" s="56"/>
      <c r="DB24" s="56"/>
      <c r="DC24" s="56"/>
      <c r="DD24" s="61">
        <f t="shared" si="41"/>
        <v>0</v>
      </c>
      <c r="DE24" s="21">
        <f t="shared" si="42"/>
        <v>0</v>
      </c>
      <c r="DF24" s="55">
        <v>12.5</v>
      </c>
      <c r="DG24" s="55"/>
      <c r="DH24" s="55"/>
      <c r="DI24" s="55"/>
      <c r="DJ24" s="104"/>
      <c r="DK24" s="53"/>
      <c r="DM24" s="58">
        <f t="shared" si="43"/>
        <v>503.3784</v>
      </c>
      <c r="DN24" s="58">
        <f t="shared" si="44"/>
        <v>370.005</v>
      </c>
      <c r="DO24" s="21">
        <f t="shared" si="45"/>
        <v>0.73504345836054941</v>
      </c>
      <c r="DP24" s="62">
        <f t="shared" si="46"/>
        <v>1.034440625325858</v>
      </c>
      <c r="DQ24" s="7">
        <v>0</v>
      </c>
      <c r="DR24" s="107">
        <f t="shared" si="47"/>
        <v>0</v>
      </c>
    </row>
    <row r="25" spans="1:122" ht="12.75" customHeight="1" x14ac:dyDescent="0.2">
      <c r="A25" s="53" t="s">
        <v>152</v>
      </c>
      <c r="B25" s="54">
        <v>2</v>
      </c>
      <c r="C25" s="92">
        <f t="shared" si="0"/>
        <v>128.70923029750131</v>
      </c>
      <c r="D25" s="92">
        <f t="shared" si="1"/>
        <v>121.16909693389907</v>
      </c>
      <c r="E25" s="92">
        <f>VLOOKUP(A25,[3]TRTOTAL!$A$7:$D$313,3,FALSE)</f>
        <v>128.70923029750131</v>
      </c>
      <c r="F25" s="92">
        <f>VLOOKUP(A25,[3]TRTOTAL!$A$7:$D$313,4,FALSE)</f>
        <v>121.16909693389907</v>
      </c>
      <c r="G25" s="92">
        <f t="shared" si="48"/>
        <v>0</v>
      </c>
      <c r="H25" s="92">
        <f t="shared" si="49"/>
        <v>0</v>
      </c>
      <c r="I25" s="54">
        <v>4.8499999999999996</v>
      </c>
      <c r="J25" s="56">
        <v>4.75</v>
      </c>
      <c r="K25" s="54">
        <v>2.35</v>
      </c>
      <c r="L25" s="57">
        <v>2</v>
      </c>
      <c r="M25" s="57">
        <v>130</v>
      </c>
      <c r="N25" s="57"/>
      <c r="O25" s="55" t="s">
        <v>133</v>
      </c>
      <c r="P25" s="24">
        <f t="shared" si="2"/>
        <v>12.5</v>
      </c>
      <c r="Q25" s="24">
        <f t="shared" si="3"/>
        <v>7.5</v>
      </c>
      <c r="R25" s="24">
        <f t="shared" si="4"/>
        <v>2.2000000000000002</v>
      </c>
      <c r="S25" s="87">
        <v>7.9</v>
      </c>
      <c r="T25" s="21">
        <f t="shared" si="5"/>
        <v>4</v>
      </c>
      <c r="U25" s="21"/>
      <c r="V25" s="24">
        <f t="shared" si="6"/>
        <v>2.25</v>
      </c>
      <c r="W25" s="24">
        <f t="shared" si="7"/>
        <v>2.41</v>
      </c>
      <c r="X25" s="24">
        <f t="shared" si="8"/>
        <v>2.152166801535786</v>
      </c>
      <c r="Y25" s="25">
        <f t="shared" si="9"/>
        <v>1</v>
      </c>
      <c r="Z25" s="24">
        <f t="shared" si="10"/>
        <v>10.540169478121051</v>
      </c>
      <c r="AA25" s="21">
        <f t="shared" si="11"/>
        <v>0</v>
      </c>
      <c r="AB25" s="24">
        <f t="shared" si="12"/>
        <v>1.9800000000000002</v>
      </c>
      <c r="AC25" s="24">
        <f t="shared" si="13"/>
        <v>14.812769478121051</v>
      </c>
      <c r="AD25" s="58">
        <f t="shared" si="14"/>
        <v>280</v>
      </c>
      <c r="AE25" s="58">
        <f t="shared" si="15"/>
        <v>286</v>
      </c>
      <c r="AF25" s="21">
        <f t="shared" si="16"/>
        <v>2.5499999999999998</v>
      </c>
      <c r="AG25" s="77">
        <f t="shared" si="17"/>
        <v>0</v>
      </c>
      <c r="AH25" s="114">
        <f t="shared" si="50"/>
        <v>1.04</v>
      </c>
      <c r="AI25" s="59">
        <f t="shared" si="18"/>
        <v>128.70923029750131</v>
      </c>
      <c r="AJ25" s="59">
        <f t="shared" si="19"/>
        <v>121.16909693389907</v>
      </c>
      <c r="AK25" s="55"/>
      <c r="AL25" s="55"/>
      <c r="AM25" s="21">
        <f t="shared" si="20"/>
        <v>0</v>
      </c>
      <c r="AN25" s="54">
        <v>7.5</v>
      </c>
      <c r="AO25" s="55"/>
      <c r="AP25" s="21">
        <f t="shared" si="21"/>
        <v>0</v>
      </c>
      <c r="AQ25" s="55"/>
      <c r="AR25" s="55"/>
      <c r="AS25" s="21">
        <f t="shared" si="22"/>
        <v>0</v>
      </c>
      <c r="AT25" s="54"/>
      <c r="AU25" s="54"/>
      <c r="AV25" s="21">
        <f t="shared" si="23"/>
        <v>0</v>
      </c>
      <c r="AW25" s="54"/>
      <c r="AX25" s="54"/>
      <c r="AY25" s="21">
        <f t="shared" si="24"/>
        <v>0</v>
      </c>
      <c r="AZ25" s="54"/>
      <c r="BA25" s="54"/>
      <c r="BB25" s="21">
        <f t="shared" si="25"/>
        <v>0</v>
      </c>
      <c r="BC25" s="54"/>
      <c r="BD25" s="54"/>
      <c r="BE25" s="21">
        <f t="shared" si="26"/>
        <v>0</v>
      </c>
      <c r="BF25" s="55"/>
      <c r="BG25" s="55"/>
      <c r="BH25" s="21">
        <f t="shared" si="27"/>
        <v>0</v>
      </c>
      <c r="BI25" s="55"/>
      <c r="BJ25" s="55"/>
      <c r="BK25" s="21">
        <f t="shared" si="28"/>
        <v>0</v>
      </c>
      <c r="BL25" s="55"/>
      <c r="BM25" s="55"/>
      <c r="BN25" s="21">
        <f t="shared" si="29"/>
        <v>0</v>
      </c>
      <c r="BO25" s="55"/>
      <c r="BP25" s="55"/>
      <c r="BQ25" s="21">
        <f t="shared" si="30"/>
        <v>0</v>
      </c>
      <c r="BR25" s="55"/>
      <c r="BS25" s="21">
        <f t="shared" si="31"/>
        <v>0</v>
      </c>
      <c r="BT25" s="56">
        <v>0</v>
      </c>
      <c r="BU25" s="56"/>
      <c r="BV25" s="21">
        <f t="shared" si="32"/>
        <v>0</v>
      </c>
      <c r="BW25" s="77">
        <f t="shared" si="33"/>
        <v>0</v>
      </c>
      <c r="BX25" s="55"/>
      <c r="BY25" s="21">
        <f t="shared" si="34"/>
        <v>0</v>
      </c>
      <c r="BZ25" s="55"/>
      <c r="CA25" s="55"/>
      <c r="CB25" s="21">
        <f t="shared" si="35"/>
        <v>0</v>
      </c>
      <c r="CC25" s="54"/>
      <c r="CD25" s="54"/>
      <c r="CE25" s="21">
        <f t="shared" si="36"/>
        <v>0</v>
      </c>
      <c r="CF25" s="21"/>
      <c r="CG25" s="21"/>
      <c r="CH25" s="21">
        <f t="shared" si="37"/>
        <v>0</v>
      </c>
      <c r="CI25" s="25">
        <f t="shared" si="38"/>
        <v>2.2000000000000002</v>
      </c>
      <c r="CJ25" s="54"/>
      <c r="CK25" s="21">
        <f t="shared" si="39"/>
        <v>0</v>
      </c>
      <c r="CL25" s="55"/>
      <c r="CM25" s="55"/>
      <c r="CN25" s="60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21">
        <f t="shared" si="40"/>
        <v>0</v>
      </c>
      <c r="CZ25" s="56"/>
      <c r="DA25" s="56"/>
      <c r="DB25" s="56"/>
      <c r="DC25" s="56"/>
      <c r="DD25" s="61">
        <f t="shared" si="41"/>
        <v>0</v>
      </c>
      <c r="DE25" s="21">
        <f t="shared" si="42"/>
        <v>0</v>
      </c>
      <c r="DF25" s="55">
        <v>12.5</v>
      </c>
      <c r="DG25" s="55">
        <v>2.2000000000000002</v>
      </c>
      <c r="DH25" s="55">
        <v>4</v>
      </c>
      <c r="DI25" s="55"/>
      <c r="DJ25" s="104"/>
      <c r="DK25" s="53"/>
      <c r="DM25" s="58">
        <f t="shared" si="43"/>
        <v>552.90598272</v>
      </c>
      <c r="DN25" s="58">
        <f t="shared" si="44"/>
        <v>655.25</v>
      </c>
      <c r="DO25" s="21">
        <f t="shared" si="45"/>
        <v>1.1851020254411473</v>
      </c>
      <c r="DP25" s="62">
        <f t="shared" si="46"/>
        <v>1</v>
      </c>
      <c r="DQ25" s="7">
        <v>0</v>
      </c>
      <c r="DR25" s="107">
        <f t="shared" si="47"/>
        <v>0</v>
      </c>
    </row>
    <row r="26" spans="1:122" ht="12.75" customHeight="1" x14ac:dyDescent="0.2">
      <c r="A26" s="53" t="s">
        <v>153</v>
      </c>
      <c r="B26" s="54">
        <v>2</v>
      </c>
      <c r="C26" s="92">
        <f t="shared" si="0"/>
        <v>115.17316695850144</v>
      </c>
      <c r="D26" s="92">
        <f t="shared" si="1"/>
        <v>109.26966214165502</v>
      </c>
      <c r="E26" s="92">
        <f>VLOOKUP(A26,[3]TRTOTAL!$A$7:$D$313,3,FALSE)</f>
        <v>115.17316695850144</v>
      </c>
      <c r="F26" s="92">
        <f>VLOOKUP(A26,[3]TRTOTAL!$A$7:$D$313,4,FALSE)</f>
        <v>109.26966214165502</v>
      </c>
      <c r="G26" s="92">
        <f t="shared" si="48"/>
        <v>0</v>
      </c>
      <c r="H26" s="92">
        <f t="shared" si="49"/>
        <v>0</v>
      </c>
      <c r="I26" s="54">
        <v>5.5</v>
      </c>
      <c r="J26" s="56">
        <v>5.25</v>
      </c>
      <c r="K26" s="54">
        <v>2.5</v>
      </c>
      <c r="L26" s="57">
        <v>2</v>
      </c>
      <c r="M26" s="57">
        <v>160</v>
      </c>
      <c r="N26" s="57"/>
      <c r="O26" s="55" t="s">
        <v>133</v>
      </c>
      <c r="P26" s="24">
        <f t="shared" si="2"/>
        <v>15.05</v>
      </c>
      <c r="Q26" s="24">
        <f t="shared" si="3"/>
        <v>7.67</v>
      </c>
      <c r="R26" s="24">
        <f t="shared" si="4"/>
        <v>4.3600000000000003</v>
      </c>
      <c r="S26" s="87">
        <v>8</v>
      </c>
      <c r="T26" s="21">
        <f t="shared" si="5"/>
        <v>4.55</v>
      </c>
      <c r="U26" s="21">
        <v>2.4700000000000002</v>
      </c>
      <c r="V26" s="24">
        <f t="shared" si="6"/>
        <v>2.4700000000000002</v>
      </c>
      <c r="W26" s="24">
        <f t="shared" si="7"/>
        <v>2.6300000000000003</v>
      </c>
      <c r="X26" s="24">
        <f t="shared" si="8"/>
        <v>2.1758302129566709</v>
      </c>
      <c r="Y26" s="25">
        <f t="shared" si="9"/>
        <v>1</v>
      </c>
      <c r="Z26" s="24">
        <f t="shared" si="10"/>
        <v>12.732063721560477</v>
      </c>
      <c r="AA26" s="21">
        <f t="shared" si="11"/>
        <v>0</v>
      </c>
      <c r="AB26" s="24">
        <f t="shared" si="12"/>
        <v>3.9240000000000004</v>
      </c>
      <c r="AC26" s="24">
        <f t="shared" si="13"/>
        <v>19.295943721560477</v>
      </c>
      <c r="AD26" s="58">
        <f t="shared" si="14"/>
        <v>310</v>
      </c>
      <c r="AE26" s="58">
        <f t="shared" si="15"/>
        <v>316</v>
      </c>
      <c r="AF26" s="21">
        <f t="shared" si="16"/>
        <v>3.15</v>
      </c>
      <c r="AG26" s="77">
        <f t="shared" si="17"/>
        <v>0</v>
      </c>
      <c r="AH26" s="114">
        <f t="shared" si="50"/>
        <v>1.04</v>
      </c>
      <c r="AI26" s="59">
        <f t="shared" si="18"/>
        <v>115.17316695850144</v>
      </c>
      <c r="AJ26" s="59">
        <f t="shared" si="19"/>
        <v>109.26966214165502</v>
      </c>
      <c r="AK26" s="55"/>
      <c r="AL26" s="55"/>
      <c r="AM26" s="21">
        <f t="shared" si="20"/>
        <v>0</v>
      </c>
      <c r="AN26" s="54">
        <v>7.67</v>
      </c>
      <c r="AO26" s="55"/>
      <c r="AP26" s="21">
        <f t="shared" si="21"/>
        <v>0</v>
      </c>
      <c r="AQ26" s="55"/>
      <c r="AR26" s="55"/>
      <c r="AS26" s="21">
        <f t="shared" si="22"/>
        <v>0</v>
      </c>
      <c r="AT26" s="54"/>
      <c r="AU26" s="54"/>
      <c r="AV26" s="21">
        <f t="shared" si="23"/>
        <v>0</v>
      </c>
      <c r="AW26" s="54"/>
      <c r="AX26" s="54"/>
      <c r="AY26" s="21">
        <f t="shared" si="24"/>
        <v>0</v>
      </c>
      <c r="AZ26" s="54"/>
      <c r="BA26" s="54"/>
      <c r="BB26" s="21">
        <f t="shared" si="25"/>
        <v>0</v>
      </c>
      <c r="BC26" s="54"/>
      <c r="BD26" s="54"/>
      <c r="BE26" s="21">
        <f t="shared" si="26"/>
        <v>0</v>
      </c>
      <c r="BF26" s="55"/>
      <c r="BG26" s="55"/>
      <c r="BH26" s="21">
        <f t="shared" si="27"/>
        <v>0</v>
      </c>
      <c r="BI26" s="55"/>
      <c r="BJ26" s="55"/>
      <c r="BK26" s="21">
        <f t="shared" si="28"/>
        <v>0</v>
      </c>
      <c r="BL26" s="55"/>
      <c r="BM26" s="55"/>
      <c r="BN26" s="21">
        <f t="shared" si="29"/>
        <v>0</v>
      </c>
      <c r="BO26" s="55"/>
      <c r="BP26" s="55"/>
      <c r="BQ26" s="21">
        <f t="shared" si="30"/>
        <v>0</v>
      </c>
      <c r="BR26" s="55"/>
      <c r="BS26" s="21">
        <f t="shared" si="31"/>
        <v>0</v>
      </c>
      <c r="BT26" s="56">
        <v>0</v>
      </c>
      <c r="BU26" s="56"/>
      <c r="BV26" s="21">
        <f t="shared" si="32"/>
        <v>0</v>
      </c>
      <c r="BW26" s="77">
        <f t="shared" si="33"/>
        <v>0</v>
      </c>
      <c r="BX26" s="55"/>
      <c r="BY26" s="21">
        <f t="shared" si="34"/>
        <v>0</v>
      </c>
      <c r="BZ26" s="55"/>
      <c r="CA26" s="55"/>
      <c r="CB26" s="21">
        <f t="shared" si="35"/>
        <v>0</v>
      </c>
      <c r="CC26" s="55"/>
      <c r="CD26" s="55"/>
      <c r="CE26" s="21">
        <f t="shared" si="36"/>
        <v>0</v>
      </c>
      <c r="CF26" s="21"/>
      <c r="CG26" s="21"/>
      <c r="CH26" s="21">
        <f t="shared" si="37"/>
        <v>0</v>
      </c>
      <c r="CI26" s="25">
        <f t="shared" si="38"/>
        <v>4.3600000000000003</v>
      </c>
      <c r="CJ26" s="54"/>
      <c r="CK26" s="21">
        <f t="shared" si="39"/>
        <v>0</v>
      </c>
      <c r="CL26" s="55"/>
      <c r="CM26" s="55"/>
      <c r="CN26" s="60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21">
        <f t="shared" si="40"/>
        <v>0</v>
      </c>
      <c r="CZ26" s="56"/>
      <c r="DA26" s="56"/>
      <c r="DB26" s="56"/>
      <c r="DC26" s="56"/>
      <c r="DD26" s="61">
        <f t="shared" si="41"/>
        <v>0</v>
      </c>
      <c r="DE26" s="21">
        <f t="shared" si="42"/>
        <v>0</v>
      </c>
      <c r="DF26" s="55">
        <v>15.05</v>
      </c>
      <c r="DG26" s="55">
        <v>4.3600000000000003</v>
      </c>
      <c r="DH26" s="55">
        <v>4.55</v>
      </c>
      <c r="DI26" s="55"/>
      <c r="DJ26" s="104"/>
      <c r="DK26" s="53"/>
      <c r="DM26" s="58">
        <f t="shared" si="43"/>
        <v>722.32845108480001</v>
      </c>
      <c r="DN26" s="58">
        <f t="shared" si="44"/>
        <v>725</v>
      </c>
      <c r="DO26" s="21">
        <f t="shared" si="45"/>
        <v>1.0036985237272433</v>
      </c>
      <c r="DP26" s="62">
        <f t="shared" si="46"/>
        <v>1</v>
      </c>
      <c r="DQ26" s="7">
        <v>0</v>
      </c>
      <c r="DR26" s="107">
        <f t="shared" si="47"/>
        <v>0</v>
      </c>
    </row>
    <row r="27" spans="1:122" ht="12.75" customHeight="1" x14ac:dyDescent="0.2">
      <c r="A27" s="53" t="s">
        <v>154</v>
      </c>
      <c r="B27" s="54">
        <v>2</v>
      </c>
      <c r="C27" s="92">
        <f t="shared" si="0"/>
        <v>115.53643361439973</v>
      </c>
      <c r="D27" s="92">
        <f t="shared" si="1"/>
        <v>110.3534790407313</v>
      </c>
      <c r="E27" s="92">
        <f>VLOOKUP(A27,[3]TRTOTAL!$A$7:$D$313,3,FALSE)</f>
        <v>115.53643361439973</v>
      </c>
      <c r="F27" s="92">
        <f>VLOOKUP(A27,[3]TRTOTAL!$A$7:$D$313,4,FALSE)</f>
        <v>110.3534790407313</v>
      </c>
      <c r="G27" s="92">
        <f t="shared" si="48"/>
        <v>0</v>
      </c>
      <c r="H27" s="92">
        <f t="shared" si="49"/>
        <v>0</v>
      </c>
      <c r="I27" s="54">
        <v>5.5</v>
      </c>
      <c r="J27" s="56">
        <v>5.4</v>
      </c>
      <c r="K27" s="54">
        <v>2.5</v>
      </c>
      <c r="L27" s="57">
        <v>2</v>
      </c>
      <c r="M27" s="57">
        <v>185</v>
      </c>
      <c r="N27" s="57"/>
      <c r="O27" s="55" t="s">
        <v>133</v>
      </c>
      <c r="P27" s="24">
        <f t="shared" si="2"/>
        <v>16.8</v>
      </c>
      <c r="Q27" s="24">
        <f t="shared" si="3"/>
        <v>9.25</v>
      </c>
      <c r="R27" s="24">
        <f t="shared" si="4"/>
        <v>5.2</v>
      </c>
      <c r="S27" s="87">
        <v>9.65</v>
      </c>
      <c r="T27" s="21">
        <f t="shared" si="5"/>
        <v>7.17</v>
      </c>
      <c r="U27" s="21"/>
      <c r="V27" s="24">
        <f t="shared" si="6"/>
        <v>2.7749999999999999</v>
      </c>
      <c r="W27" s="24">
        <f t="shared" si="7"/>
        <v>2.9350000000000001</v>
      </c>
      <c r="X27" s="24">
        <f t="shared" si="8"/>
        <v>1.9502625018501372</v>
      </c>
      <c r="Y27" s="25">
        <f t="shared" si="9"/>
        <v>1</v>
      </c>
      <c r="Z27" s="24">
        <f t="shared" si="10"/>
        <v>13.753461168297596</v>
      </c>
      <c r="AA27" s="21">
        <f t="shared" si="11"/>
        <v>0</v>
      </c>
      <c r="AB27" s="24">
        <f t="shared" si="12"/>
        <v>4.6800000000000006</v>
      </c>
      <c r="AC27" s="24">
        <f t="shared" si="13"/>
        <v>20.975061168297596</v>
      </c>
      <c r="AD27" s="58">
        <f t="shared" si="14"/>
        <v>335</v>
      </c>
      <c r="AE27" s="58">
        <f t="shared" si="15"/>
        <v>341</v>
      </c>
      <c r="AF27" s="21">
        <f t="shared" si="16"/>
        <v>3.15</v>
      </c>
      <c r="AG27" s="77">
        <f t="shared" si="17"/>
        <v>0</v>
      </c>
      <c r="AH27" s="114">
        <f t="shared" si="50"/>
        <v>1.04</v>
      </c>
      <c r="AI27" s="59">
        <f t="shared" si="18"/>
        <v>112.46416882823608</v>
      </c>
      <c r="AJ27" s="59">
        <f t="shared" si="19"/>
        <v>107.4190357912624</v>
      </c>
      <c r="AK27" s="55"/>
      <c r="AL27" s="55"/>
      <c r="AM27" s="21">
        <f t="shared" si="20"/>
        <v>0</v>
      </c>
      <c r="AN27" s="54">
        <v>9.25</v>
      </c>
      <c r="AO27" s="55"/>
      <c r="AP27" s="21">
        <f t="shared" si="21"/>
        <v>0</v>
      </c>
      <c r="AQ27" s="55"/>
      <c r="AR27" s="55"/>
      <c r="AS27" s="21">
        <f t="shared" si="22"/>
        <v>0</v>
      </c>
      <c r="AT27" s="54"/>
      <c r="AU27" s="54"/>
      <c r="AV27" s="21">
        <f t="shared" si="23"/>
        <v>0</v>
      </c>
      <c r="AW27" s="54"/>
      <c r="AX27" s="54"/>
      <c r="AY27" s="21">
        <f t="shared" si="24"/>
        <v>0</v>
      </c>
      <c r="AZ27" s="54"/>
      <c r="BA27" s="54"/>
      <c r="BB27" s="21">
        <f t="shared" si="25"/>
        <v>0</v>
      </c>
      <c r="BC27" s="54"/>
      <c r="BD27" s="54"/>
      <c r="BE27" s="21">
        <f t="shared" si="26"/>
        <v>0</v>
      </c>
      <c r="BF27" s="55"/>
      <c r="BG27" s="55"/>
      <c r="BH27" s="21">
        <f t="shared" si="27"/>
        <v>0</v>
      </c>
      <c r="BI27" s="55"/>
      <c r="BJ27" s="55"/>
      <c r="BK27" s="21">
        <f t="shared" si="28"/>
        <v>0</v>
      </c>
      <c r="BL27" s="55"/>
      <c r="BM27" s="55"/>
      <c r="BN27" s="21">
        <f t="shared" si="29"/>
        <v>0</v>
      </c>
      <c r="BO27" s="55"/>
      <c r="BP27" s="55"/>
      <c r="BQ27" s="21">
        <f t="shared" si="30"/>
        <v>0</v>
      </c>
      <c r="BR27" s="55"/>
      <c r="BS27" s="21">
        <f t="shared" si="31"/>
        <v>0</v>
      </c>
      <c r="BT27" s="56">
        <v>0</v>
      </c>
      <c r="BU27" s="56"/>
      <c r="BV27" s="21">
        <f t="shared" si="32"/>
        <v>0</v>
      </c>
      <c r="BW27" s="77">
        <f t="shared" si="33"/>
        <v>0</v>
      </c>
      <c r="BX27" s="55"/>
      <c r="BY27" s="21">
        <f t="shared" si="34"/>
        <v>0</v>
      </c>
      <c r="BZ27" s="55"/>
      <c r="CA27" s="55"/>
      <c r="CB27" s="21">
        <f t="shared" si="35"/>
        <v>0</v>
      </c>
      <c r="CC27" s="54"/>
      <c r="CD27" s="54"/>
      <c r="CE27" s="21">
        <f t="shared" si="36"/>
        <v>0</v>
      </c>
      <c r="CF27" s="21"/>
      <c r="CG27" s="21"/>
      <c r="CH27" s="21">
        <f t="shared" si="37"/>
        <v>0</v>
      </c>
      <c r="CI27" s="25">
        <f t="shared" si="38"/>
        <v>5.2</v>
      </c>
      <c r="CJ27" s="54"/>
      <c r="CK27" s="21">
        <f t="shared" si="39"/>
        <v>0</v>
      </c>
      <c r="CL27" s="55"/>
      <c r="CM27" s="55"/>
      <c r="CN27" s="60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21">
        <f t="shared" si="40"/>
        <v>0</v>
      </c>
      <c r="CZ27" s="56"/>
      <c r="DA27" s="56"/>
      <c r="DB27" s="56"/>
      <c r="DC27" s="56"/>
      <c r="DD27" s="61">
        <f t="shared" si="41"/>
        <v>0</v>
      </c>
      <c r="DE27" s="21">
        <f t="shared" si="42"/>
        <v>0</v>
      </c>
      <c r="DF27" s="55">
        <v>16.8</v>
      </c>
      <c r="DG27" s="55">
        <v>5.2</v>
      </c>
      <c r="DH27" s="55">
        <v>7.17</v>
      </c>
      <c r="DI27" s="55"/>
      <c r="DJ27" s="104"/>
      <c r="DK27" s="53"/>
      <c r="DM27" s="58">
        <f t="shared" si="43"/>
        <v>966.21210792959982</v>
      </c>
      <c r="DN27" s="58">
        <f t="shared" si="44"/>
        <v>756.25</v>
      </c>
      <c r="DO27" s="21">
        <f t="shared" si="45"/>
        <v>0.78269563566171119</v>
      </c>
      <c r="DP27" s="62">
        <f t="shared" si="46"/>
        <v>1.0273177209965945</v>
      </c>
      <c r="DQ27" s="7">
        <v>0</v>
      </c>
      <c r="DR27" s="107">
        <f t="shared" si="47"/>
        <v>0</v>
      </c>
    </row>
    <row r="28" spans="1:122" ht="12.75" customHeight="1" x14ac:dyDescent="0.2">
      <c r="A28" s="53" t="s">
        <v>155</v>
      </c>
      <c r="B28" s="54">
        <v>2</v>
      </c>
      <c r="C28" s="92">
        <f t="shared" si="0"/>
        <v>109.27645227814115</v>
      </c>
      <c r="D28" s="92">
        <f t="shared" si="1"/>
        <v>103.68853954624647</v>
      </c>
      <c r="E28" s="92">
        <f>VLOOKUP(A28,[3]TRTOTAL!$A$7:$D$313,3,FALSE)</f>
        <v>109.27645227814115</v>
      </c>
      <c r="F28" s="92">
        <f>VLOOKUP(A28,[3]TRTOTAL!$A$7:$D$313,4,FALSE)</f>
        <v>103.68853954624647</v>
      </c>
      <c r="G28" s="92">
        <f t="shared" si="48"/>
        <v>0</v>
      </c>
      <c r="H28" s="92">
        <f t="shared" si="49"/>
        <v>0</v>
      </c>
      <c r="I28" s="54">
        <v>5.5</v>
      </c>
      <c r="J28" s="56">
        <v>5.3</v>
      </c>
      <c r="K28" s="54">
        <v>2.5</v>
      </c>
      <c r="L28" s="57">
        <v>2</v>
      </c>
      <c r="M28" s="57">
        <v>145</v>
      </c>
      <c r="N28" s="57"/>
      <c r="O28" s="55"/>
      <c r="P28" s="24">
        <f t="shared" si="2"/>
        <v>13.94</v>
      </c>
      <c r="Q28" s="24">
        <f t="shared" ref="Q28:Q57" si="51">voorvlm1+voorllm2</f>
        <v>7.35</v>
      </c>
      <c r="R28" s="24">
        <f t="shared" si="4"/>
        <v>4.5999999999999996</v>
      </c>
      <c r="S28" s="87">
        <v>7.75</v>
      </c>
      <c r="T28" s="21">
        <f t="shared" si="5"/>
        <v>4.75</v>
      </c>
      <c r="U28" s="21"/>
      <c r="V28" s="24">
        <f t="shared" si="6"/>
        <v>2.2049999999999996</v>
      </c>
      <c r="W28" s="24">
        <f t="shared" si="7"/>
        <v>2.3649999999999998</v>
      </c>
      <c r="X28" s="24">
        <f t="shared" si="8"/>
        <v>2.4923009533855698</v>
      </c>
      <c r="Y28" s="25">
        <f t="shared" si="9"/>
        <v>1</v>
      </c>
      <c r="Z28" s="24">
        <f t="shared" si="10"/>
        <v>12.28337530802882</v>
      </c>
      <c r="AA28" s="21">
        <f t="shared" si="11"/>
        <v>0</v>
      </c>
      <c r="AB28" s="24">
        <f t="shared" si="12"/>
        <v>4.1399999999999997</v>
      </c>
      <c r="AC28" s="24">
        <f t="shared" si="13"/>
        <v>19.035175308028819</v>
      </c>
      <c r="AD28" s="58">
        <f t="shared" si="14"/>
        <v>295</v>
      </c>
      <c r="AE28" s="58">
        <f t="shared" si="15"/>
        <v>301</v>
      </c>
      <c r="AF28" s="21">
        <f t="shared" si="16"/>
        <v>3.15</v>
      </c>
      <c r="AG28" s="77">
        <f t="shared" si="17"/>
        <v>0</v>
      </c>
      <c r="AH28" s="114">
        <f t="shared" si="50"/>
        <v>1</v>
      </c>
      <c r="AI28" s="59">
        <f t="shared" si="18"/>
        <v>109.27645227814115</v>
      </c>
      <c r="AJ28" s="59">
        <f t="shared" si="19"/>
        <v>103.68853954624647</v>
      </c>
      <c r="AK28" s="55"/>
      <c r="AL28" s="55"/>
      <c r="AM28" s="21">
        <f t="shared" si="20"/>
        <v>0</v>
      </c>
      <c r="AN28" s="54">
        <v>7.35</v>
      </c>
      <c r="AO28" s="55"/>
      <c r="AP28" s="21">
        <f t="shared" si="21"/>
        <v>0</v>
      </c>
      <c r="AQ28" s="55"/>
      <c r="AR28" s="55"/>
      <c r="AS28" s="21">
        <f t="shared" si="22"/>
        <v>0</v>
      </c>
      <c r="AT28" s="54"/>
      <c r="AU28" s="54"/>
      <c r="AV28" s="21">
        <f t="shared" si="23"/>
        <v>0</v>
      </c>
      <c r="AW28" s="54"/>
      <c r="AX28" s="54"/>
      <c r="AY28" s="21">
        <f t="shared" si="24"/>
        <v>0</v>
      </c>
      <c r="AZ28" s="54"/>
      <c r="BA28" s="54"/>
      <c r="BB28" s="21">
        <f t="shared" si="25"/>
        <v>0</v>
      </c>
      <c r="BC28" s="54"/>
      <c r="BD28" s="54"/>
      <c r="BE28" s="21">
        <f t="shared" si="26"/>
        <v>0</v>
      </c>
      <c r="BF28" s="55"/>
      <c r="BG28" s="55"/>
      <c r="BH28" s="21">
        <f t="shared" si="27"/>
        <v>0</v>
      </c>
      <c r="BI28" s="55"/>
      <c r="BJ28" s="55"/>
      <c r="BK28" s="21">
        <f t="shared" si="28"/>
        <v>0</v>
      </c>
      <c r="BL28" s="55"/>
      <c r="BM28" s="55"/>
      <c r="BN28" s="21">
        <f t="shared" si="29"/>
        <v>0</v>
      </c>
      <c r="BO28" s="55"/>
      <c r="BP28" s="55"/>
      <c r="BQ28" s="21">
        <f t="shared" si="30"/>
        <v>0</v>
      </c>
      <c r="BR28" s="55"/>
      <c r="BS28" s="21">
        <f t="shared" si="31"/>
        <v>0</v>
      </c>
      <c r="BT28" s="56">
        <v>0</v>
      </c>
      <c r="BU28" s="56"/>
      <c r="BV28" s="21">
        <f t="shared" si="32"/>
        <v>0</v>
      </c>
      <c r="BW28" s="77">
        <f t="shared" si="33"/>
        <v>0</v>
      </c>
      <c r="BX28" s="55"/>
      <c r="BY28" s="21">
        <f t="shared" si="34"/>
        <v>0</v>
      </c>
      <c r="BZ28" s="55"/>
      <c r="CA28" s="55"/>
      <c r="CB28" s="21">
        <f t="shared" si="35"/>
        <v>0</v>
      </c>
      <c r="CC28" s="55"/>
      <c r="CD28" s="55"/>
      <c r="CE28" s="21">
        <f t="shared" si="36"/>
        <v>0</v>
      </c>
      <c r="CF28" s="21"/>
      <c r="CG28" s="21"/>
      <c r="CH28" s="21">
        <f t="shared" si="37"/>
        <v>0</v>
      </c>
      <c r="CI28" s="25">
        <f t="shared" si="38"/>
        <v>4.5999999999999996</v>
      </c>
      <c r="CJ28" s="54"/>
      <c r="CK28" s="21">
        <f t="shared" si="39"/>
        <v>0</v>
      </c>
      <c r="CL28" s="55"/>
      <c r="CM28" s="55"/>
      <c r="CN28" s="60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21">
        <f t="shared" si="40"/>
        <v>0</v>
      </c>
      <c r="CZ28" s="56"/>
      <c r="DA28" s="56"/>
      <c r="DB28" s="56"/>
      <c r="DC28" s="56"/>
      <c r="DD28" s="61">
        <f t="shared" si="41"/>
        <v>0</v>
      </c>
      <c r="DE28" s="21">
        <f t="shared" si="42"/>
        <v>0</v>
      </c>
      <c r="DF28" s="55">
        <v>13.94</v>
      </c>
      <c r="DG28" s="55">
        <v>4.5999999999999996</v>
      </c>
      <c r="DH28" s="55">
        <v>4.75</v>
      </c>
      <c r="DI28" s="55"/>
      <c r="DJ28" s="104"/>
      <c r="DK28" s="53"/>
      <c r="DM28" s="58">
        <f t="shared" si="43"/>
        <v>667.45093847039982</v>
      </c>
      <c r="DN28" s="58">
        <f t="shared" si="44"/>
        <v>706.25</v>
      </c>
      <c r="DO28" s="21">
        <f t="shared" si="45"/>
        <v>1.058130207470404</v>
      </c>
      <c r="DP28" s="62">
        <f t="shared" si="46"/>
        <v>1</v>
      </c>
      <c r="DQ28" s="7">
        <v>0</v>
      </c>
      <c r="DR28" s="107">
        <f t="shared" si="47"/>
        <v>0</v>
      </c>
    </row>
    <row r="29" spans="1:122" ht="12.75" customHeight="1" x14ac:dyDescent="0.2">
      <c r="A29" s="53" t="s">
        <v>156</v>
      </c>
      <c r="B29" s="54">
        <v>1</v>
      </c>
      <c r="C29" s="92">
        <f t="shared" si="0"/>
        <v>130.19653280094406</v>
      </c>
      <c r="D29" s="92">
        <f t="shared" si="1"/>
        <v>122.74923537209681</v>
      </c>
      <c r="E29" s="92">
        <f>VLOOKUP(A29,[3]TRTOTAL!$A$7:$D$313,3,FALSE)</f>
        <v>130.19653280094406</v>
      </c>
      <c r="F29" s="92">
        <f>VLOOKUP(A29,[3]TRTOTAL!$A$7:$D$313,4,FALSE)</f>
        <v>122.74923537209681</v>
      </c>
      <c r="G29" s="92">
        <f t="shared" si="48"/>
        <v>0</v>
      </c>
      <c r="H29" s="92">
        <f t="shared" si="49"/>
        <v>0</v>
      </c>
      <c r="I29" s="54">
        <v>4.54</v>
      </c>
      <c r="J29" s="56">
        <v>4.3360000000000003</v>
      </c>
      <c r="K29" s="54">
        <v>2.13</v>
      </c>
      <c r="L29" s="57">
        <v>1</v>
      </c>
      <c r="M29" s="57">
        <v>120</v>
      </c>
      <c r="N29" s="57"/>
      <c r="O29" s="55" t="s">
        <v>133</v>
      </c>
      <c r="P29" s="24">
        <f t="shared" si="2"/>
        <v>10.251207333333333</v>
      </c>
      <c r="Q29" s="24">
        <f t="shared" si="51"/>
        <v>6.3</v>
      </c>
      <c r="R29" s="24">
        <f t="shared" si="4"/>
        <v>0</v>
      </c>
      <c r="S29" s="87">
        <v>6.7</v>
      </c>
      <c r="T29" s="21">
        <f t="shared" si="5"/>
        <v>0</v>
      </c>
      <c r="U29" s="21"/>
      <c r="V29" s="24">
        <f t="shared" si="6"/>
        <v>1.69</v>
      </c>
      <c r="W29" s="24">
        <f t="shared" si="7"/>
        <v>1.825</v>
      </c>
      <c r="X29" s="24">
        <f t="shared" si="8"/>
        <v>3.0778629636579722</v>
      </c>
      <c r="Y29" s="25">
        <f t="shared" si="9"/>
        <v>1</v>
      </c>
      <c r="Z29" s="24">
        <f t="shared" si="10"/>
        <v>9.6233128320076116</v>
      </c>
      <c r="AA29" s="21">
        <f t="shared" si="11"/>
        <v>0</v>
      </c>
      <c r="AB29" s="24">
        <f t="shared" si="12"/>
        <v>0</v>
      </c>
      <c r="AC29" s="24">
        <f t="shared" si="13"/>
        <v>11.723312832007611</v>
      </c>
      <c r="AD29" s="58">
        <f t="shared" si="14"/>
        <v>190</v>
      </c>
      <c r="AE29" s="58">
        <f t="shared" si="15"/>
        <v>196</v>
      </c>
      <c r="AF29" s="21">
        <f t="shared" si="16"/>
        <v>2.1</v>
      </c>
      <c r="AG29" s="77">
        <f t="shared" si="17"/>
        <v>0</v>
      </c>
      <c r="AH29" s="114">
        <f t="shared" si="50"/>
        <v>1.04</v>
      </c>
      <c r="AI29" s="59">
        <f t="shared" si="18"/>
        <v>129.56085209598467</v>
      </c>
      <c r="AJ29" s="59">
        <f t="shared" si="19"/>
        <v>120.94051076799177</v>
      </c>
      <c r="AK29" s="55">
        <v>6.3</v>
      </c>
      <c r="AL29" s="55">
        <v>1.69</v>
      </c>
      <c r="AM29" s="21">
        <f t="shared" si="20"/>
        <v>5.3235000000000001</v>
      </c>
      <c r="AN29" s="54">
        <v>6.3</v>
      </c>
      <c r="AO29" s="55">
        <v>0.16500000000000001</v>
      </c>
      <c r="AP29" s="21">
        <f t="shared" si="21"/>
        <v>0.69300000000000006</v>
      </c>
      <c r="AQ29" s="55"/>
      <c r="AR29" s="55"/>
      <c r="AS29" s="21">
        <f t="shared" si="22"/>
        <v>0</v>
      </c>
      <c r="AT29" s="54">
        <v>6.1</v>
      </c>
      <c r="AU29" s="54">
        <v>0.82899999999999996</v>
      </c>
      <c r="AV29" s="21">
        <f t="shared" si="23"/>
        <v>2.5284499999999999</v>
      </c>
      <c r="AW29" s="54">
        <v>1.76</v>
      </c>
      <c r="AX29" s="54">
        <v>9.8000000000000004E-2</v>
      </c>
      <c r="AY29" s="21">
        <f t="shared" si="24"/>
        <v>8.6239999999999997E-2</v>
      </c>
      <c r="AZ29" s="54">
        <v>3.278</v>
      </c>
      <c r="BA29" s="54">
        <v>0.214</v>
      </c>
      <c r="BB29" s="21">
        <f t="shared" si="25"/>
        <v>0.46766133333333332</v>
      </c>
      <c r="BC29" s="54"/>
      <c r="BD29" s="54"/>
      <c r="BE29" s="21">
        <f t="shared" si="26"/>
        <v>0</v>
      </c>
      <c r="BF29" s="55">
        <v>2.5950000000000002</v>
      </c>
      <c r="BG29" s="55">
        <v>0.16</v>
      </c>
      <c r="BH29" s="21">
        <f t="shared" si="27"/>
        <v>0.20760000000000001</v>
      </c>
      <c r="BI29" s="55">
        <v>0.88800000000000001</v>
      </c>
      <c r="BJ29" s="55">
        <v>6.8000000000000005E-2</v>
      </c>
      <c r="BK29" s="21">
        <f t="shared" si="28"/>
        <v>4.0256000000000007E-2</v>
      </c>
      <c r="BL29" s="55"/>
      <c r="BM29" s="55"/>
      <c r="BN29" s="21">
        <f t="shared" si="29"/>
        <v>0</v>
      </c>
      <c r="BO29" s="55"/>
      <c r="BP29" s="55"/>
      <c r="BQ29" s="21">
        <f t="shared" si="30"/>
        <v>0</v>
      </c>
      <c r="BR29" s="55"/>
      <c r="BS29" s="21">
        <f t="shared" si="31"/>
        <v>9.3467073333333328</v>
      </c>
      <c r="BT29" s="56">
        <v>0</v>
      </c>
      <c r="BU29" s="56"/>
      <c r="BV29" s="21">
        <f t="shared" si="32"/>
        <v>0</v>
      </c>
      <c r="BW29" s="77">
        <f t="shared" si="33"/>
        <v>0</v>
      </c>
      <c r="BX29" s="55"/>
      <c r="BY29" s="21">
        <f t="shared" si="34"/>
        <v>0</v>
      </c>
      <c r="BZ29" s="55"/>
      <c r="CA29" s="55"/>
      <c r="CB29" s="21">
        <f t="shared" si="35"/>
        <v>0</v>
      </c>
      <c r="CC29" s="54"/>
      <c r="CD29" s="54"/>
      <c r="CE29" s="21">
        <f t="shared" si="36"/>
        <v>0</v>
      </c>
      <c r="CF29" s="21"/>
      <c r="CG29" s="21"/>
      <c r="CH29" s="21">
        <f t="shared" si="37"/>
        <v>0</v>
      </c>
      <c r="CI29" s="25">
        <f t="shared" si="38"/>
        <v>0</v>
      </c>
      <c r="CJ29" s="54">
        <v>0.27</v>
      </c>
      <c r="CK29" s="21">
        <f t="shared" si="39"/>
        <v>0.90450000000000008</v>
      </c>
      <c r="CL29" s="55"/>
      <c r="CM29" s="55"/>
      <c r="CN29" s="60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21">
        <f t="shared" si="40"/>
        <v>0</v>
      </c>
      <c r="CZ29" s="56"/>
      <c r="DA29" s="56"/>
      <c r="DB29" s="56"/>
      <c r="DC29" s="56"/>
      <c r="DD29" s="61">
        <f t="shared" si="41"/>
        <v>0</v>
      </c>
      <c r="DE29" s="21">
        <f t="shared" si="42"/>
        <v>0</v>
      </c>
      <c r="DF29" s="55"/>
      <c r="DG29" s="55"/>
      <c r="DH29" s="55"/>
      <c r="DI29" s="55"/>
      <c r="DJ29" s="104"/>
      <c r="DK29" s="53"/>
      <c r="DM29" s="58">
        <f t="shared" si="43"/>
        <v>362.68379211126268</v>
      </c>
      <c r="DN29" s="58">
        <f t="shared" si="44"/>
        <v>346.9</v>
      </c>
      <c r="DO29" s="21">
        <f t="shared" si="45"/>
        <v>0.95648056942555459</v>
      </c>
      <c r="DP29" s="62">
        <f t="shared" si="46"/>
        <v>1.0049064257812108</v>
      </c>
      <c r="DQ29" s="7">
        <v>0</v>
      </c>
      <c r="DR29" s="107">
        <f t="shared" si="47"/>
        <v>0</v>
      </c>
    </row>
    <row r="30" spans="1:122" ht="12.75" customHeight="1" x14ac:dyDescent="0.2">
      <c r="A30" s="53" t="s">
        <v>157</v>
      </c>
      <c r="B30" s="54">
        <v>1</v>
      </c>
      <c r="C30" s="92">
        <f t="shared" si="0"/>
        <v>125.08832995337589</v>
      </c>
      <c r="D30" s="92">
        <f t="shared" si="1"/>
        <v>119.7841289195852</v>
      </c>
      <c r="E30" s="92">
        <f>VLOOKUP(A30,[3]TRTOTAL!$A$7:$D$313,3,FALSE)</f>
        <v>125.08832995337589</v>
      </c>
      <c r="F30" s="92">
        <f>VLOOKUP(A30,[3]TRTOTAL!$A$7:$D$313,4,FALSE)</f>
        <v>119.7841289195852</v>
      </c>
      <c r="G30" s="92">
        <f t="shared" si="48"/>
        <v>0</v>
      </c>
      <c r="H30" s="92">
        <f t="shared" si="49"/>
        <v>0</v>
      </c>
      <c r="I30" s="54">
        <v>4.54</v>
      </c>
      <c r="J30" s="56">
        <v>4.3360000000000003</v>
      </c>
      <c r="K30" s="54">
        <v>2.13</v>
      </c>
      <c r="L30" s="57">
        <v>1</v>
      </c>
      <c r="M30" s="57">
        <v>123</v>
      </c>
      <c r="N30" s="57"/>
      <c r="O30" s="55" t="s">
        <v>133</v>
      </c>
      <c r="P30" s="24">
        <f t="shared" si="2"/>
        <v>10.251207333333333</v>
      </c>
      <c r="Q30" s="24">
        <f t="shared" si="51"/>
        <v>6.3</v>
      </c>
      <c r="R30" s="24">
        <f t="shared" si="4"/>
        <v>1.9984266666666668</v>
      </c>
      <c r="S30" s="87">
        <v>6.7</v>
      </c>
      <c r="T30" s="21">
        <f t="shared" si="5"/>
        <v>3.1067</v>
      </c>
      <c r="U30" s="21"/>
      <c r="V30" s="24">
        <f t="shared" si="6"/>
        <v>1.69</v>
      </c>
      <c r="W30" s="24">
        <f t="shared" si="7"/>
        <v>1.825</v>
      </c>
      <c r="X30" s="24">
        <f t="shared" si="8"/>
        <v>3.0778629636579722</v>
      </c>
      <c r="Y30" s="25">
        <f t="shared" si="9"/>
        <v>1</v>
      </c>
      <c r="Z30" s="24">
        <f t="shared" si="10"/>
        <v>9.6233128320076116</v>
      </c>
      <c r="AA30" s="21">
        <f t="shared" si="11"/>
        <v>1.2197428385416667</v>
      </c>
      <c r="AB30" s="24">
        <f t="shared" si="12"/>
        <v>1.5272185684838842</v>
      </c>
      <c r="AC30" s="24">
        <f t="shared" si="13"/>
        <v>13.051992986588591</v>
      </c>
      <c r="AD30" s="58">
        <f t="shared" si="14"/>
        <v>198</v>
      </c>
      <c r="AE30" s="58">
        <f t="shared" si="15"/>
        <v>204</v>
      </c>
      <c r="AF30" s="21">
        <f t="shared" si="16"/>
        <v>2.1</v>
      </c>
      <c r="AG30" s="77">
        <f t="shared" si="17"/>
        <v>0</v>
      </c>
      <c r="AH30" s="114">
        <f t="shared" si="50"/>
        <v>1.04</v>
      </c>
      <c r="AI30" s="59">
        <f t="shared" si="18"/>
        <v>123.79601863711567</v>
      </c>
      <c r="AJ30" s="59">
        <f t="shared" si="19"/>
        <v>117.37288743816141</v>
      </c>
      <c r="AK30" s="55">
        <v>6.3</v>
      </c>
      <c r="AL30" s="55">
        <v>1.69</v>
      </c>
      <c r="AM30" s="21">
        <f t="shared" si="20"/>
        <v>5.3235000000000001</v>
      </c>
      <c r="AN30" s="54">
        <v>6.3</v>
      </c>
      <c r="AO30" s="55">
        <v>0.16500000000000001</v>
      </c>
      <c r="AP30" s="21">
        <f t="shared" si="21"/>
        <v>0.69300000000000006</v>
      </c>
      <c r="AQ30" s="55"/>
      <c r="AR30" s="55"/>
      <c r="AS30" s="21">
        <f t="shared" si="22"/>
        <v>0</v>
      </c>
      <c r="AT30" s="54">
        <v>6.1</v>
      </c>
      <c r="AU30" s="54">
        <v>0.82899999999999996</v>
      </c>
      <c r="AV30" s="21">
        <f t="shared" si="23"/>
        <v>2.5284499999999999</v>
      </c>
      <c r="AW30" s="54">
        <v>1.76</v>
      </c>
      <c r="AX30" s="54">
        <v>9.8000000000000004E-2</v>
      </c>
      <c r="AY30" s="21">
        <f t="shared" si="24"/>
        <v>8.6239999999999997E-2</v>
      </c>
      <c r="AZ30" s="54">
        <v>3.278</v>
      </c>
      <c r="BA30" s="54">
        <v>0.214</v>
      </c>
      <c r="BB30" s="21">
        <f t="shared" si="25"/>
        <v>0.46766133333333332</v>
      </c>
      <c r="BC30" s="54"/>
      <c r="BD30" s="54"/>
      <c r="BE30" s="21">
        <f t="shared" si="26"/>
        <v>0</v>
      </c>
      <c r="BF30" s="55">
        <v>2.5950000000000002</v>
      </c>
      <c r="BG30" s="55">
        <v>0.16</v>
      </c>
      <c r="BH30" s="21">
        <f t="shared" si="27"/>
        <v>0.20760000000000001</v>
      </c>
      <c r="BI30" s="55">
        <v>0.88800000000000001</v>
      </c>
      <c r="BJ30" s="55">
        <v>6.8000000000000005E-2</v>
      </c>
      <c r="BK30" s="21">
        <f t="shared" si="28"/>
        <v>4.0256000000000007E-2</v>
      </c>
      <c r="BL30" s="55"/>
      <c r="BM30" s="55"/>
      <c r="BN30" s="21">
        <f t="shared" si="29"/>
        <v>0</v>
      </c>
      <c r="BO30" s="55"/>
      <c r="BP30" s="55"/>
      <c r="BQ30" s="21">
        <f t="shared" si="30"/>
        <v>0</v>
      </c>
      <c r="BR30" s="55"/>
      <c r="BS30" s="21">
        <f t="shared" si="31"/>
        <v>9.3467073333333328</v>
      </c>
      <c r="BT30" s="56">
        <v>3.3050000000000002</v>
      </c>
      <c r="BU30" s="56">
        <v>1.28</v>
      </c>
      <c r="BV30" s="21">
        <f t="shared" si="32"/>
        <v>2.1152000000000002</v>
      </c>
      <c r="BW30" s="77">
        <f t="shared" si="33"/>
        <v>3.3050000000000002</v>
      </c>
      <c r="BX30" s="55"/>
      <c r="BY30" s="21">
        <f t="shared" si="34"/>
        <v>0</v>
      </c>
      <c r="BZ30" s="55">
        <v>3.02</v>
      </c>
      <c r="CA30" s="55">
        <v>-5.8000000000000003E-2</v>
      </c>
      <c r="CB30" s="21">
        <f t="shared" si="35"/>
        <v>-0.11677333333333334</v>
      </c>
      <c r="CC30" s="55"/>
      <c r="CD30" s="55"/>
      <c r="CE30" s="21">
        <f t="shared" si="36"/>
        <v>0</v>
      </c>
      <c r="CF30" s="21"/>
      <c r="CG30" s="21"/>
      <c r="CH30" s="21">
        <f t="shared" si="37"/>
        <v>0</v>
      </c>
      <c r="CI30" s="25">
        <f t="shared" si="38"/>
        <v>1.9984266666666668</v>
      </c>
      <c r="CJ30" s="54">
        <v>0.27</v>
      </c>
      <c r="CK30" s="21">
        <f t="shared" si="39"/>
        <v>0.90450000000000008</v>
      </c>
      <c r="CL30" s="55"/>
      <c r="CM30" s="55"/>
      <c r="CN30" s="60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21">
        <f t="shared" si="40"/>
        <v>0</v>
      </c>
      <c r="CZ30" s="56"/>
      <c r="DA30" s="56"/>
      <c r="DB30" s="56"/>
      <c r="DC30" s="56"/>
      <c r="DD30" s="61">
        <f t="shared" si="41"/>
        <v>0</v>
      </c>
      <c r="DE30" s="21">
        <f t="shared" si="42"/>
        <v>0</v>
      </c>
      <c r="DF30" s="55"/>
      <c r="DG30" s="55"/>
      <c r="DH30" s="55"/>
      <c r="DI30" s="55"/>
      <c r="DJ30" s="104"/>
      <c r="DK30" s="53"/>
      <c r="DM30" s="58">
        <f t="shared" si="43"/>
        <v>401.95687191837965</v>
      </c>
      <c r="DN30" s="58">
        <f t="shared" si="44"/>
        <v>365.745</v>
      </c>
      <c r="DO30" s="21">
        <f t="shared" si="45"/>
        <v>0.90991105153755714</v>
      </c>
      <c r="DP30" s="62">
        <f t="shared" si="46"/>
        <v>1.0104390377856043</v>
      </c>
      <c r="DQ30" s="7">
        <v>0</v>
      </c>
      <c r="DR30" s="107">
        <f t="shared" si="47"/>
        <v>0</v>
      </c>
    </row>
    <row r="31" spans="1:122" ht="12.75" customHeight="1" x14ac:dyDescent="0.2">
      <c r="A31" s="53" t="s">
        <v>158</v>
      </c>
      <c r="B31" s="54">
        <v>2</v>
      </c>
      <c r="C31" s="92">
        <f t="shared" si="0"/>
        <v>127.2809373095733</v>
      </c>
      <c r="D31" s="92">
        <f t="shared" si="1"/>
        <v>120.2363066684938</v>
      </c>
      <c r="E31" s="92">
        <f>VLOOKUP(A31,[3]TRTOTAL!$A$7:$D$313,3,FALSE)</f>
        <v>127.2809373095733</v>
      </c>
      <c r="F31" s="92">
        <f>VLOOKUP(A31,[3]TRTOTAL!$A$7:$D$313,4,FALSE)</f>
        <v>120.2363066684938</v>
      </c>
      <c r="G31" s="92">
        <f t="shared" si="48"/>
        <v>0</v>
      </c>
      <c r="H31" s="92">
        <f t="shared" si="49"/>
        <v>0</v>
      </c>
      <c r="I31" s="54">
        <v>4.8</v>
      </c>
      <c r="J31" s="56">
        <v>4.8</v>
      </c>
      <c r="K31" s="54">
        <v>2.2999999999999998</v>
      </c>
      <c r="L31" s="57">
        <v>1</v>
      </c>
      <c r="M31" s="57">
        <v>150</v>
      </c>
      <c r="N31" s="57"/>
      <c r="O31" s="55" t="s">
        <v>133</v>
      </c>
      <c r="P31" s="24">
        <f t="shared" si="2"/>
        <v>11.7073</v>
      </c>
      <c r="Q31" s="24">
        <f t="shared" si="51"/>
        <v>6.99</v>
      </c>
      <c r="R31" s="24">
        <f t="shared" si="4"/>
        <v>2.5729166666666665</v>
      </c>
      <c r="S31" s="87">
        <v>7.5</v>
      </c>
      <c r="T31" s="21">
        <f t="shared" si="5"/>
        <v>4.2582000000000004</v>
      </c>
      <c r="U31" s="21"/>
      <c r="V31" s="24">
        <f t="shared" si="6"/>
        <v>1.8</v>
      </c>
      <c r="W31" s="24">
        <f t="shared" si="7"/>
        <v>1.9625000000000001</v>
      </c>
      <c r="X31" s="24">
        <f t="shared" si="8"/>
        <v>3.0397468457138217</v>
      </c>
      <c r="Y31" s="25">
        <f t="shared" si="9"/>
        <v>1</v>
      </c>
      <c r="Z31" s="24">
        <f t="shared" si="10"/>
        <v>10.94920973699219</v>
      </c>
      <c r="AA31" s="21">
        <f t="shared" si="11"/>
        <v>1.7573367028663798</v>
      </c>
      <c r="AB31" s="24">
        <f t="shared" si="12"/>
        <v>2.1938893025874053</v>
      </c>
      <c r="AC31" s="24">
        <f t="shared" si="13"/>
        <v>15.407893430243233</v>
      </c>
      <c r="AD31" s="58">
        <f t="shared" si="14"/>
        <v>290</v>
      </c>
      <c r="AE31" s="58">
        <f t="shared" si="15"/>
        <v>296</v>
      </c>
      <c r="AF31" s="21">
        <f t="shared" si="16"/>
        <v>2.5499999999999998</v>
      </c>
      <c r="AG31" s="77">
        <f t="shared" si="17"/>
        <v>0</v>
      </c>
      <c r="AH31" s="114">
        <f t="shared" si="50"/>
        <v>1.04</v>
      </c>
      <c r="AI31" s="59">
        <f t="shared" si="18"/>
        <v>127.2809373095733</v>
      </c>
      <c r="AJ31" s="59">
        <f t="shared" si="19"/>
        <v>120.2363066684938</v>
      </c>
      <c r="AK31" s="55">
        <v>6.99</v>
      </c>
      <c r="AL31" s="55">
        <v>1.8</v>
      </c>
      <c r="AM31" s="21">
        <f t="shared" si="20"/>
        <v>6.2910000000000004</v>
      </c>
      <c r="AN31" s="54">
        <v>6.99</v>
      </c>
      <c r="AO31" s="55">
        <v>0.12</v>
      </c>
      <c r="AP31" s="21">
        <f t="shared" si="21"/>
        <v>0.55920000000000003</v>
      </c>
      <c r="AQ31" s="55">
        <v>1.88</v>
      </c>
      <c r="AR31" s="55"/>
      <c r="AS31" s="21">
        <f t="shared" si="22"/>
        <v>0</v>
      </c>
      <c r="AT31" s="54">
        <v>6.71</v>
      </c>
      <c r="AU31" s="54">
        <v>0.81</v>
      </c>
      <c r="AV31" s="21">
        <f t="shared" si="23"/>
        <v>2.7175500000000001</v>
      </c>
      <c r="AW31" s="54"/>
      <c r="AX31" s="54"/>
      <c r="AY31" s="21">
        <f t="shared" si="24"/>
        <v>0</v>
      </c>
      <c r="AZ31" s="54">
        <v>4.53</v>
      </c>
      <c r="BA31" s="54">
        <v>0.1</v>
      </c>
      <c r="BB31" s="21">
        <f t="shared" si="25"/>
        <v>0.30200000000000005</v>
      </c>
      <c r="BC31" s="54"/>
      <c r="BD31" s="54"/>
      <c r="BE31" s="21">
        <f t="shared" si="26"/>
        <v>0</v>
      </c>
      <c r="BF31" s="55">
        <v>2.38</v>
      </c>
      <c r="BG31" s="55">
        <v>0.38</v>
      </c>
      <c r="BH31" s="21">
        <f t="shared" si="27"/>
        <v>0.45219999999999999</v>
      </c>
      <c r="BI31" s="55"/>
      <c r="BJ31" s="55"/>
      <c r="BK31" s="21">
        <f t="shared" si="28"/>
        <v>0</v>
      </c>
      <c r="BL31" s="55">
        <v>1.19</v>
      </c>
      <c r="BM31" s="55">
        <v>0.28000000000000003</v>
      </c>
      <c r="BN31" s="21">
        <f t="shared" si="29"/>
        <v>0.1666</v>
      </c>
      <c r="BO31" s="55"/>
      <c r="BP31" s="55"/>
      <c r="BQ31" s="21">
        <f t="shared" si="30"/>
        <v>0</v>
      </c>
      <c r="BR31" s="55"/>
      <c r="BS31" s="21">
        <f t="shared" si="31"/>
        <v>10.48855</v>
      </c>
      <c r="BT31" s="56">
        <v>4.53</v>
      </c>
      <c r="BU31" s="56">
        <v>1.21</v>
      </c>
      <c r="BV31" s="21">
        <f t="shared" si="32"/>
        <v>2.74065</v>
      </c>
      <c r="BW31" s="77">
        <f t="shared" si="33"/>
        <v>4.53</v>
      </c>
      <c r="BX31" s="55"/>
      <c r="BY31" s="21">
        <f t="shared" si="34"/>
        <v>0</v>
      </c>
      <c r="BZ31" s="55">
        <v>4.32</v>
      </c>
      <c r="CA31" s="55">
        <v>-7.0000000000000007E-2</v>
      </c>
      <c r="CB31" s="21">
        <f t="shared" si="35"/>
        <v>-0.20160000000000003</v>
      </c>
      <c r="CC31" s="54">
        <v>1.27</v>
      </c>
      <c r="CD31" s="54">
        <v>0.04</v>
      </c>
      <c r="CE31" s="21">
        <f t="shared" si="36"/>
        <v>3.386666666666667E-2</v>
      </c>
      <c r="CF31" s="21"/>
      <c r="CG31" s="21"/>
      <c r="CH31" s="21">
        <f t="shared" si="37"/>
        <v>0</v>
      </c>
      <c r="CI31" s="25">
        <f t="shared" si="38"/>
        <v>2.5729166666666665</v>
      </c>
      <c r="CJ31" s="54">
        <v>0.32500000000000001</v>
      </c>
      <c r="CK31" s="21">
        <f t="shared" si="39"/>
        <v>1.21875</v>
      </c>
      <c r="CL31" s="55">
        <v>1748</v>
      </c>
      <c r="CM31" s="55" t="s">
        <v>159</v>
      </c>
      <c r="CN31" s="60">
        <v>36315</v>
      </c>
      <c r="CO31" s="55" t="s">
        <v>160</v>
      </c>
      <c r="CP31" s="55" t="s">
        <v>138</v>
      </c>
      <c r="CQ31" s="55" t="s">
        <v>138</v>
      </c>
      <c r="CR31" s="55"/>
      <c r="CS31" s="55"/>
      <c r="CT31" s="55"/>
      <c r="CU31" s="55"/>
      <c r="CV31" s="55"/>
      <c r="CW31" s="55"/>
      <c r="CX31" s="55"/>
      <c r="CY31" s="21">
        <f t="shared" si="40"/>
        <v>0</v>
      </c>
      <c r="CZ31" s="56"/>
      <c r="DA31" s="56"/>
      <c r="DB31" s="56"/>
      <c r="DC31" s="56"/>
      <c r="DD31" s="61">
        <f t="shared" si="41"/>
        <v>0</v>
      </c>
      <c r="DE31" s="21">
        <f t="shared" si="42"/>
        <v>0</v>
      </c>
      <c r="DF31" s="55"/>
      <c r="DG31" s="55"/>
      <c r="DH31" s="55"/>
      <c r="DI31" s="55"/>
      <c r="DJ31" s="104"/>
      <c r="DK31" s="53"/>
      <c r="DM31" s="58">
        <f t="shared" si="43"/>
        <v>507.17240248669111</v>
      </c>
      <c r="DN31" s="58">
        <f t="shared" si="44"/>
        <v>564.5</v>
      </c>
      <c r="DO31" s="21">
        <f t="shared" si="45"/>
        <v>1.1130337479567676</v>
      </c>
      <c r="DP31" s="62">
        <f t="shared" si="46"/>
        <v>1</v>
      </c>
      <c r="DQ31" s="7" t="s">
        <v>130</v>
      </c>
      <c r="DR31" s="107">
        <f t="shared" si="47"/>
        <v>0</v>
      </c>
    </row>
    <row r="32" spans="1:122" ht="12.75" customHeight="1" x14ac:dyDescent="0.2">
      <c r="A32" s="53" t="s">
        <v>161</v>
      </c>
      <c r="B32" s="54">
        <v>2</v>
      </c>
      <c r="C32" s="92">
        <f t="shared" si="0"/>
        <v>120.97280524008838</v>
      </c>
      <c r="D32" s="92">
        <f t="shared" si="1"/>
        <v>113.27214101760329</v>
      </c>
      <c r="E32" s="92">
        <f>VLOOKUP(A32,[3]TRTOTAL!$A$7:$D$313,3,FALSE)</f>
        <v>120.97280524008838</v>
      </c>
      <c r="F32" s="92">
        <f>VLOOKUP(A32,[3]TRTOTAL!$A$7:$D$313,4,FALSE)</f>
        <v>113.27214101760329</v>
      </c>
      <c r="G32" s="92">
        <f t="shared" si="48"/>
        <v>0</v>
      </c>
      <c r="H32" s="92">
        <f t="shared" si="49"/>
        <v>0</v>
      </c>
      <c r="I32" s="54">
        <v>5.46</v>
      </c>
      <c r="J32" s="56">
        <v>5.2140000000000004</v>
      </c>
      <c r="K32" s="54">
        <v>2.29</v>
      </c>
      <c r="L32" s="57">
        <v>1</v>
      </c>
      <c r="M32" s="57">
        <v>140</v>
      </c>
      <c r="N32" s="57"/>
      <c r="O32" s="55" t="s">
        <v>133</v>
      </c>
      <c r="P32" s="24">
        <f t="shared" si="2"/>
        <v>12.931866666666666</v>
      </c>
      <c r="Q32" s="24">
        <f t="shared" si="51"/>
        <v>7.42</v>
      </c>
      <c r="R32" s="24">
        <f t="shared" si="4"/>
        <v>3.3755000000000002</v>
      </c>
      <c r="S32" s="87">
        <v>8</v>
      </c>
      <c r="T32" s="21">
        <f t="shared" si="5"/>
        <v>4.0419999999999998</v>
      </c>
      <c r="U32" s="21">
        <v>1.96</v>
      </c>
      <c r="V32" s="24">
        <f t="shared" si="6"/>
        <v>1.96</v>
      </c>
      <c r="W32" s="24">
        <f t="shared" si="7"/>
        <v>2.1259999999999999</v>
      </c>
      <c r="X32" s="24">
        <f t="shared" si="8"/>
        <v>2.8611109390316614</v>
      </c>
      <c r="Y32" s="25">
        <f t="shared" si="9"/>
        <v>0.96400616432683828</v>
      </c>
      <c r="Z32" s="24">
        <f t="shared" si="10"/>
        <v>11.449228981793098</v>
      </c>
      <c r="AA32" s="21">
        <f t="shared" si="11"/>
        <v>1.3694267515923566</v>
      </c>
      <c r="AB32" s="24">
        <f t="shared" si="12"/>
        <v>2.6707439361162781</v>
      </c>
      <c r="AC32" s="24">
        <f t="shared" si="13"/>
        <v>16.922776206214259</v>
      </c>
      <c r="AD32" s="58">
        <f t="shared" si="14"/>
        <v>290</v>
      </c>
      <c r="AE32" s="58">
        <f t="shared" si="15"/>
        <v>296</v>
      </c>
      <c r="AF32" s="21">
        <f t="shared" si="16"/>
        <v>3.15</v>
      </c>
      <c r="AG32" s="77">
        <f t="shared" si="17"/>
        <v>0</v>
      </c>
      <c r="AH32" s="114">
        <f t="shared" si="50"/>
        <v>1.04</v>
      </c>
      <c r="AI32" s="59">
        <f t="shared" si="18"/>
        <v>120.6507413221083</v>
      </c>
      <c r="AJ32" s="59">
        <f t="shared" si="19"/>
        <v>112.97057845185375</v>
      </c>
      <c r="AK32" s="55">
        <v>7.42</v>
      </c>
      <c r="AL32" s="55">
        <v>1.86</v>
      </c>
      <c r="AM32" s="21">
        <f t="shared" si="20"/>
        <v>6.9006000000000007</v>
      </c>
      <c r="AN32" s="54">
        <v>7.42</v>
      </c>
      <c r="AO32" s="55">
        <v>0.08</v>
      </c>
      <c r="AP32" s="21">
        <f t="shared" si="21"/>
        <v>0.39573333333333333</v>
      </c>
      <c r="AQ32" s="55"/>
      <c r="AR32" s="55"/>
      <c r="AS32" s="21">
        <f t="shared" si="22"/>
        <v>0</v>
      </c>
      <c r="AT32" s="54">
        <v>7.7</v>
      </c>
      <c r="AU32" s="54">
        <v>0.86</v>
      </c>
      <c r="AV32" s="21">
        <f t="shared" si="23"/>
        <v>3.3109999999999999</v>
      </c>
      <c r="AW32" s="54"/>
      <c r="AX32" s="54"/>
      <c r="AY32" s="21">
        <f t="shared" si="24"/>
        <v>0</v>
      </c>
      <c r="AZ32" s="54">
        <v>4</v>
      </c>
      <c r="BA32" s="54">
        <v>0.2</v>
      </c>
      <c r="BB32" s="21">
        <f t="shared" si="25"/>
        <v>0.53333333333333333</v>
      </c>
      <c r="BC32" s="54">
        <v>3.86</v>
      </c>
      <c r="BD32" s="54">
        <v>0.18</v>
      </c>
      <c r="BE32" s="21">
        <f t="shared" si="26"/>
        <v>0.4632</v>
      </c>
      <c r="BF32" s="55"/>
      <c r="BG32" s="55"/>
      <c r="BH32" s="21">
        <f t="shared" si="27"/>
        <v>0</v>
      </c>
      <c r="BI32" s="55"/>
      <c r="BJ32" s="55"/>
      <c r="BK32" s="21">
        <f t="shared" si="28"/>
        <v>0</v>
      </c>
      <c r="BL32" s="55"/>
      <c r="BM32" s="55"/>
      <c r="BN32" s="21">
        <f t="shared" si="29"/>
        <v>0</v>
      </c>
      <c r="BO32" s="55"/>
      <c r="BP32" s="55"/>
      <c r="BQ32" s="21">
        <f t="shared" si="30"/>
        <v>0</v>
      </c>
      <c r="BR32" s="55"/>
      <c r="BS32" s="21">
        <f t="shared" si="31"/>
        <v>11.603866666666667</v>
      </c>
      <c r="BT32" s="56">
        <v>4.3</v>
      </c>
      <c r="BU32" s="56">
        <v>1.57</v>
      </c>
      <c r="BV32" s="21">
        <f t="shared" si="32"/>
        <v>3.3755000000000002</v>
      </c>
      <c r="BW32" s="77">
        <f t="shared" si="33"/>
        <v>4.3</v>
      </c>
      <c r="BX32" s="55"/>
      <c r="BY32" s="21">
        <f t="shared" si="34"/>
        <v>0</v>
      </c>
      <c r="BZ32" s="55"/>
      <c r="CA32" s="55"/>
      <c r="CB32" s="21">
        <f t="shared" si="35"/>
        <v>0</v>
      </c>
      <c r="CC32" s="55"/>
      <c r="CD32" s="55"/>
      <c r="CE32" s="21">
        <f t="shared" si="36"/>
        <v>0</v>
      </c>
      <c r="CF32" s="21"/>
      <c r="CG32" s="21"/>
      <c r="CH32" s="21">
        <f t="shared" si="37"/>
        <v>0</v>
      </c>
      <c r="CI32" s="25">
        <f t="shared" si="38"/>
        <v>3.3755000000000002</v>
      </c>
      <c r="CJ32" s="54">
        <v>0.33200000000000002</v>
      </c>
      <c r="CK32" s="21">
        <f t="shared" si="39"/>
        <v>1.3280000000000001</v>
      </c>
      <c r="CL32" s="55"/>
      <c r="CM32" s="55"/>
      <c r="CN32" s="60">
        <v>34786</v>
      </c>
      <c r="CO32" s="55" t="s">
        <v>162</v>
      </c>
      <c r="CP32" s="55"/>
      <c r="CQ32" s="55"/>
      <c r="CR32" s="55"/>
      <c r="CS32" s="55"/>
      <c r="CT32" s="55"/>
      <c r="CU32" s="55"/>
      <c r="CV32" s="55"/>
      <c r="CW32" s="55"/>
      <c r="CX32" s="55"/>
      <c r="CY32" s="21">
        <f t="shared" si="40"/>
        <v>0</v>
      </c>
      <c r="CZ32" s="56"/>
      <c r="DA32" s="56"/>
      <c r="DB32" s="56"/>
      <c r="DC32" s="56"/>
      <c r="DD32" s="61">
        <f t="shared" si="41"/>
        <v>0</v>
      </c>
      <c r="DE32" s="21">
        <f t="shared" si="42"/>
        <v>0</v>
      </c>
      <c r="DF32" s="55"/>
      <c r="DG32" s="55"/>
      <c r="DH32" s="55"/>
      <c r="DI32" s="55"/>
      <c r="DJ32" s="104"/>
      <c r="DK32" s="53"/>
      <c r="DM32" s="58">
        <f t="shared" si="43"/>
        <v>592.99848695745277</v>
      </c>
      <c r="DN32" s="58">
        <f t="shared" si="44"/>
        <v>578.79999999999995</v>
      </c>
      <c r="DO32" s="21">
        <f t="shared" si="45"/>
        <v>0.97605645331356206</v>
      </c>
      <c r="DP32" s="62">
        <f t="shared" si="46"/>
        <v>1.0026693902950852</v>
      </c>
      <c r="DQ32" s="7" t="s">
        <v>130</v>
      </c>
      <c r="DR32" s="107">
        <f t="shared" si="47"/>
        <v>0</v>
      </c>
    </row>
    <row r="33" spans="1:122" ht="12.75" customHeight="1" x14ac:dyDescent="0.2">
      <c r="A33" s="53" t="s">
        <v>163</v>
      </c>
      <c r="B33" s="54">
        <v>1</v>
      </c>
      <c r="C33" s="92">
        <f t="shared" si="0"/>
        <v>121.76406110289695</v>
      </c>
      <c r="D33" s="92">
        <f t="shared" si="1"/>
        <v>114.51135492198559</v>
      </c>
      <c r="E33" s="92">
        <f>VLOOKUP(A33,[3]TRTOTAL!$A$7:$D$313,3,FALSE)</f>
        <v>121.76406110289695</v>
      </c>
      <c r="F33" s="92">
        <f>VLOOKUP(A33,[3]TRTOTAL!$A$7:$D$313,4,FALSE)</f>
        <v>114.51135492198559</v>
      </c>
      <c r="G33" s="92">
        <f t="shared" si="48"/>
        <v>0</v>
      </c>
      <c r="H33" s="92">
        <f t="shared" si="49"/>
        <v>0</v>
      </c>
      <c r="I33" s="54">
        <v>5.46</v>
      </c>
      <c r="J33" s="56">
        <v>5.2140000000000004</v>
      </c>
      <c r="K33" s="54">
        <v>2.29</v>
      </c>
      <c r="L33" s="57">
        <v>1</v>
      </c>
      <c r="M33" s="57">
        <v>137</v>
      </c>
      <c r="N33" s="57"/>
      <c r="O33" s="55" t="s">
        <v>133</v>
      </c>
      <c r="P33" s="24">
        <f t="shared" si="2"/>
        <v>12.931866666666666</v>
      </c>
      <c r="Q33" s="24">
        <f t="shared" si="51"/>
        <v>7.42</v>
      </c>
      <c r="R33" s="24">
        <f t="shared" si="4"/>
        <v>0</v>
      </c>
      <c r="S33" s="87">
        <v>8</v>
      </c>
      <c r="T33" s="21">
        <f t="shared" si="5"/>
        <v>0</v>
      </c>
      <c r="U33" s="21">
        <v>1.96</v>
      </c>
      <c r="V33" s="24">
        <f t="shared" si="6"/>
        <v>1.96</v>
      </c>
      <c r="W33" s="24">
        <f t="shared" si="7"/>
        <v>2.1259999999999999</v>
      </c>
      <c r="X33" s="24">
        <f t="shared" si="8"/>
        <v>2.8611109390316614</v>
      </c>
      <c r="Y33" s="25">
        <f t="shared" si="9"/>
        <v>0.96400616432683828</v>
      </c>
      <c r="Z33" s="24">
        <f t="shared" si="10"/>
        <v>11.449228981793098</v>
      </c>
      <c r="AA33" s="21">
        <f t="shared" si="11"/>
        <v>0</v>
      </c>
      <c r="AB33" s="24">
        <f t="shared" si="12"/>
        <v>0</v>
      </c>
      <c r="AC33" s="24">
        <f t="shared" si="13"/>
        <v>13.999228981793099</v>
      </c>
      <c r="AD33" s="58">
        <f t="shared" si="14"/>
        <v>212</v>
      </c>
      <c r="AE33" s="58">
        <f t="shared" si="15"/>
        <v>218</v>
      </c>
      <c r="AF33" s="21">
        <f t="shared" si="16"/>
        <v>2.5499999999999998</v>
      </c>
      <c r="AG33" s="77">
        <f t="shared" si="17"/>
        <v>0</v>
      </c>
      <c r="AH33" s="114">
        <f t="shared" si="50"/>
        <v>1.04</v>
      </c>
      <c r="AI33" s="59">
        <f t="shared" si="18"/>
        <v>118.50395617037434</v>
      </c>
      <c r="AJ33" s="59">
        <f t="shared" si="19"/>
        <v>110.34201345051437</v>
      </c>
      <c r="AK33" s="55">
        <v>7.42</v>
      </c>
      <c r="AL33" s="55">
        <v>1.86</v>
      </c>
      <c r="AM33" s="21">
        <f t="shared" si="20"/>
        <v>6.9006000000000007</v>
      </c>
      <c r="AN33" s="54">
        <v>7.42</v>
      </c>
      <c r="AO33" s="55">
        <v>0.08</v>
      </c>
      <c r="AP33" s="21">
        <f t="shared" si="21"/>
        <v>0.39573333333333333</v>
      </c>
      <c r="AQ33" s="55"/>
      <c r="AR33" s="55"/>
      <c r="AS33" s="21">
        <f t="shared" si="22"/>
        <v>0</v>
      </c>
      <c r="AT33" s="54">
        <v>7.7</v>
      </c>
      <c r="AU33" s="54">
        <v>0.86</v>
      </c>
      <c r="AV33" s="21">
        <f t="shared" si="23"/>
        <v>3.3109999999999999</v>
      </c>
      <c r="AW33" s="54"/>
      <c r="AX33" s="54"/>
      <c r="AY33" s="21">
        <f t="shared" si="24"/>
        <v>0</v>
      </c>
      <c r="AZ33" s="54">
        <v>4</v>
      </c>
      <c r="BA33" s="54">
        <v>0.2</v>
      </c>
      <c r="BB33" s="21">
        <f t="shared" si="25"/>
        <v>0.53333333333333333</v>
      </c>
      <c r="BC33" s="54">
        <v>3.86</v>
      </c>
      <c r="BD33" s="54">
        <v>0.18</v>
      </c>
      <c r="BE33" s="21">
        <f t="shared" si="26"/>
        <v>0.4632</v>
      </c>
      <c r="BF33" s="55"/>
      <c r="BG33" s="55">
        <v>0.13</v>
      </c>
      <c r="BH33" s="21">
        <f t="shared" si="27"/>
        <v>0</v>
      </c>
      <c r="BI33" s="55"/>
      <c r="BJ33" s="55"/>
      <c r="BK33" s="21">
        <f t="shared" si="28"/>
        <v>0</v>
      </c>
      <c r="BL33" s="55"/>
      <c r="BM33" s="55"/>
      <c r="BN33" s="21"/>
      <c r="BO33" s="55"/>
      <c r="BP33" s="55"/>
      <c r="BQ33" s="21"/>
      <c r="BR33" s="55"/>
      <c r="BS33" s="21">
        <f t="shared" si="31"/>
        <v>11.603866666666667</v>
      </c>
      <c r="BT33" s="56">
        <v>0</v>
      </c>
      <c r="BU33" s="56"/>
      <c r="BV33" s="21">
        <f t="shared" si="32"/>
        <v>0</v>
      </c>
      <c r="BW33" s="77">
        <f t="shared" si="33"/>
        <v>0</v>
      </c>
      <c r="BX33" s="55"/>
      <c r="BY33" s="21">
        <f t="shared" si="34"/>
        <v>0</v>
      </c>
      <c r="BZ33" s="55"/>
      <c r="CA33" s="55"/>
      <c r="CB33" s="21">
        <f t="shared" si="35"/>
        <v>0</v>
      </c>
      <c r="CC33" s="54"/>
      <c r="CD33" s="54"/>
      <c r="CE33" s="21">
        <f t="shared" si="36"/>
        <v>0</v>
      </c>
      <c r="CF33" s="21"/>
      <c r="CG33" s="21"/>
      <c r="CH33" s="21">
        <f t="shared" si="37"/>
        <v>0</v>
      </c>
      <c r="CI33" s="25">
        <f t="shared" si="38"/>
        <v>0</v>
      </c>
      <c r="CJ33" s="54">
        <v>0.33200000000000002</v>
      </c>
      <c r="CK33" s="21">
        <f t="shared" si="39"/>
        <v>1.3280000000000001</v>
      </c>
      <c r="CL33" s="55"/>
      <c r="CM33" s="55"/>
      <c r="CN33" s="60">
        <v>34786</v>
      </c>
      <c r="CO33" s="55" t="s">
        <v>162</v>
      </c>
      <c r="CP33" s="55"/>
      <c r="CQ33" s="55"/>
      <c r="CR33" s="55"/>
      <c r="CS33" s="55"/>
      <c r="CT33" s="55"/>
      <c r="CU33" s="55"/>
      <c r="CV33" s="55"/>
      <c r="CW33" s="55"/>
      <c r="CX33" s="55"/>
      <c r="CY33" s="21">
        <f t="shared" si="40"/>
        <v>0</v>
      </c>
      <c r="CZ33" s="56"/>
      <c r="DA33" s="56"/>
      <c r="DB33" s="56"/>
      <c r="DC33" s="56"/>
      <c r="DD33" s="61">
        <f t="shared" si="41"/>
        <v>0</v>
      </c>
      <c r="DE33" s="21">
        <f t="shared" si="42"/>
        <v>0</v>
      </c>
      <c r="DF33" s="55"/>
      <c r="DG33" s="55"/>
      <c r="DH33" s="55"/>
      <c r="DI33" s="55"/>
      <c r="DJ33" s="104"/>
      <c r="DK33" s="53"/>
      <c r="DM33" s="58">
        <f t="shared" si="43"/>
        <v>516.55343515095035</v>
      </c>
      <c r="DN33" s="58">
        <f t="shared" si="44"/>
        <v>403.61500000000001</v>
      </c>
      <c r="DO33" s="21">
        <f t="shared" si="45"/>
        <v>0.78136156404042345</v>
      </c>
      <c r="DP33" s="62">
        <f t="shared" si="46"/>
        <v>1.0275105155800497</v>
      </c>
      <c r="DQ33" s="7" t="s">
        <v>130</v>
      </c>
      <c r="DR33" s="107">
        <f t="shared" si="47"/>
        <v>0</v>
      </c>
    </row>
    <row r="34" spans="1:122" ht="12.75" customHeight="1" x14ac:dyDescent="0.2">
      <c r="A34" s="53" t="s">
        <v>165</v>
      </c>
      <c r="B34" s="54">
        <v>2</v>
      </c>
      <c r="C34" s="92">
        <f t="shared" si="0"/>
        <v>107.91430025613222</v>
      </c>
      <c r="D34" s="92">
        <f t="shared" si="1"/>
        <v>102.27901540219445</v>
      </c>
      <c r="E34" s="92">
        <f>VLOOKUP(A34,[3]TRTOTAL!$A$7:$D$313,3,FALSE)</f>
        <v>107.91430025613222</v>
      </c>
      <c r="F34" s="92">
        <f>VLOOKUP(A34,[3]TRTOTAL!$A$7:$D$313,4,FALSE)</f>
        <v>102.27901540219445</v>
      </c>
      <c r="G34" s="92">
        <f t="shared" si="48"/>
        <v>0</v>
      </c>
      <c r="H34" s="92">
        <f t="shared" si="49"/>
        <v>0</v>
      </c>
      <c r="I34" s="54">
        <v>5.94</v>
      </c>
      <c r="J34" s="56">
        <v>5.673</v>
      </c>
      <c r="K34" s="54">
        <v>2.44</v>
      </c>
      <c r="L34" s="57">
        <v>2</v>
      </c>
      <c r="M34" s="57">
        <v>170</v>
      </c>
      <c r="N34" s="57"/>
      <c r="O34" s="55" t="s">
        <v>133</v>
      </c>
      <c r="P34" s="24">
        <f t="shared" si="2"/>
        <v>17.917690833333332</v>
      </c>
      <c r="Q34" s="24">
        <f t="shared" si="51"/>
        <v>8.6929999999999996</v>
      </c>
      <c r="R34" s="24">
        <f t="shared" si="4"/>
        <v>4.7187860000000006</v>
      </c>
      <c r="S34" s="87">
        <v>9</v>
      </c>
      <c r="T34" s="21">
        <f t="shared" si="5"/>
        <v>4.9143199999999991</v>
      </c>
      <c r="U34" s="21"/>
      <c r="V34" s="24">
        <f t="shared" si="6"/>
        <v>2.2879999999999998</v>
      </c>
      <c r="W34" s="24">
        <f t="shared" si="7"/>
        <v>2.4579999999999997</v>
      </c>
      <c r="X34" s="24">
        <f t="shared" si="8"/>
        <v>2.9656389811540693</v>
      </c>
      <c r="Y34" s="25">
        <f t="shared" si="9"/>
        <v>1</v>
      </c>
      <c r="Z34" s="24">
        <f t="shared" si="10"/>
        <v>16.633832573240031</v>
      </c>
      <c r="AA34" s="21">
        <f t="shared" si="11"/>
        <v>1.3196149424435546</v>
      </c>
      <c r="AB34" s="24">
        <f t="shared" si="12"/>
        <v>3.6922997089509222</v>
      </c>
      <c r="AC34" s="24">
        <f t="shared" si="13"/>
        <v>23.596133320027334</v>
      </c>
      <c r="AD34" s="58">
        <f t="shared" si="14"/>
        <v>320</v>
      </c>
      <c r="AE34" s="58">
        <f t="shared" si="15"/>
        <v>326</v>
      </c>
      <c r="AF34" s="21">
        <f t="shared" si="16"/>
        <v>3.75</v>
      </c>
      <c r="AG34" s="77">
        <f t="shared" si="17"/>
        <v>0</v>
      </c>
      <c r="AH34" s="114">
        <f t="shared" si="50"/>
        <v>1.04</v>
      </c>
      <c r="AI34" s="59">
        <f t="shared" si="18"/>
        <v>104.98892955679108</v>
      </c>
      <c r="AJ34" s="59">
        <f t="shared" si="19"/>
        <v>99.506407563336325</v>
      </c>
      <c r="AK34" s="55">
        <v>8.6929999999999996</v>
      </c>
      <c r="AL34" s="55">
        <v>2.2879999999999998</v>
      </c>
      <c r="AM34" s="21">
        <f t="shared" si="20"/>
        <v>9.9447919999999979</v>
      </c>
      <c r="AN34" s="54">
        <v>8.6929999999999996</v>
      </c>
      <c r="AO34" s="55">
        <v>8.8999999999999996E-2</v>
      </c>
      <c r="AP34" s="21">
        <f t="shared" si="21"/>
        <v>0.51578466666666667</v>
      </c>
      <c r="AQ34" s="55"/>
      <c r="AR34" s="55"/>
      <c r="AS34" s="21">
        <f t="shared" si="22"/>
        <v>0</v>
      </c>
      <c r="AT34" s="54">
        <v>8.6780000000000008</v>
      </c>
      <c r="AU34" s="54">
        <v>0.93200000000000005</v>
      </c>
      <c r="AV34" s="21">
        <f t="shared" si="23"/>
        <v>4.0439480000000003</v>
      </c>
      <c r="AW34" s="54">
        <v>2.5169999999999999</v>
      </c>
      <c r="AX34" s="54">
        <v>0.112</v>
      </c>
      <c r="AY34" s="21">
        <f t="shared" si="24"/>
        <v>0.14095199999999999</v>
      </c>
      <c r="AZ34" s="54">
        <v>6.407</v>
      </c>
      <c r="BA34" s="54">
        <v>0.38300000000000001</v>
      </c>
      <c r="BB34" s="21">
        <f t="shared" si="25"/>
        <v>1.6359206666666666</v>
      </c>
      <c r="BC34" s="54"/>
      <c r="BD34" s="54"/>
      <c r="BE34" s="21">
        <f t="shared" si="26"/>
        <v>0</v>
      </c>
      <c r="BF34" s="55">
        <v>1.6970000000000001</v>
      </c>
      <c r="BG34" s="55">
        <v>8.3000000000000004E-2</v>
      </c>
      <c r="BH34" s="21">
        <f t="shared" si="27"/>
        <v>7.0425500000000002E-2</v>
      </c>
      <c r="BI34" s="55">
        <v>0.88200000000000001</v>
      </c>
      <c r="BJ34" s="55">
        <v>6.0999999999999999E-2</v>
      </c>
      <c r="BK34" s="21">
        <f t="shared" si="28"/>
        <v>3.5868000000000004E-2</v>
      </c>
      <c r="BL34" s="55"/>
      <c r="BM34" s="55"/>
      <c r="BN34" s="21">
        <f t="shared" ref="BN34:BN72" si="52">BL34*BM34*0.5</f>
        <v>0</v>
      </c>
      <c r="BO34" s="55"/>
      <c r="BP34" s="55"/>
      <c r="BQ34" s="21">
        <f t="shared" ref="BQ34:BQ72" si="53">BO34*BP34*0.5</f>
        <v>0</v>
      </c>
      <c r="BR34" s="55"/>
      <c r="BS34" s="21">
        <f t="shared" si="31"/>
        <v>16.38769083333333</v>
      </c>
      <c r="BT34" s="56">
        <v>5.2279999999999998</v>
      </c>
      <c r="BU34" s="56">
        <v>1.891</v>
      </c>
      <c r="BV34" s="21">
        <f t="shared" si="32"/>
        <v>4.9430740000000002</v>
      </c>
      <c r="BW34" s="77">
        <f t="shared" si="33"/>
        <v>5.2279999999999998</v>
      </c>
      <c r="BX34" s="55">
        <v>-1.9E-2</v>
      </c>
      <c r="BY34" s="21">
        <f t="shared" si="34"/>
        <v>-6.6221333333333326E-2</v>
      </c>
      <c r="BZ34" s="55">
        <v>4.742</v>
      </c>
      <c r="CA34" s="55">
        <v>-0.05</v>
      </c>
      <c r="CB34" s="21">
        <f t="shared" si="35"/>
        <v>-0.15806666666666666</v>
      </c>
      <c r="CC34" s="54"/>
      <c r="CD34" s="54"/>
      <c r="CE34" s="21">
        <f t="shared" si="36"/>
        <v>0</v>
      </c>
      <c r="CF34" s="21"/>
      <c r="CG34" s="21"/>
      <c r="CH34" s="21">
        <f t="shared" si="37"/>
        <v>0</v>
      </c>
      <c r="CI34" s="25">
        <f t="shared" si="38"/>
        <v>4.7187860000000006</v>
      </c>
      <c r="CJ34" s="54">
        <v>0.34</v>
      </c>
      <c r="CK34" s="21">
        <f t="shared" si="39"/>
        <v>1.53</v>
      </c>
      <c r="CL34" s="55"/>
      <c r="CM34" s="55"/>
      <c r="CN34" s="60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21">
        <f t="shared" si="40"/>
        <v>0</v>
      </c>
      <c r="CZ34" s="56"/>
      <c r="DA34" s="56"/>
      <c r="DB34" s="56"/>
      <c r="DC34" s="56"/>
      <c r="DD34" s="61">
        <f t="shared" si="41"/>
        <v>0</v>
      </c>
      <c r="DE34" s="21">
        <f t="shared" si="42"/>
        <v>0</v>
      </c>
      <c r="DF34" s="55"/>
      <c r="DG34" s="55"/>
      <c r="DH34" s="55"/>
      <c r="DI34" s="55"/>
      <c r="DJ34" s="104"/>
      <c r="DK34" s="53"/>
      <c r="DM34" s="58">
        <f t="shared" si="43"/>
        <v>928.71609071996613</v>
      </c>
      <c r="DN34" s="58">
        <f t="shared" si="44"/>
        <v>723.4</v>
      </c>
      <c r="DO34" s="21">
        <f t="shared" si="45"/>
        <v>0.77892480514599516</v>
      </c>
      <c r="DP34" s="62">
        <f t="shared" si="46"/>
        <v>1.0278636110653814</v>
      </c>
      <c r="DQ34" s="7" t="s">
        <v>130</v>
      </c>
      <c r="DR34" s="107">
        <f t="shared" si="47"/>
        <v>0</v>
      </c>
    </row>
    <row r="35" spans="1:122" ht="12.75" customHeight="1" x14ac:dyDescent="0.2">
      <c r="A35" s="53" t="s">
        <v>166</v>
      </c>
      <c r="B35" s="54">
        <v>2</v>
      </c>
      <c r="C35" s="92">
        <f t="shared" si="0"/>
        <v>110.2011266293663</v>
      </c>
      <c r="D35" s="92">
        <f t="shared" si="1"/>
        <v>104.77131565641504</v>
      </c>
      <c r="E35" s="92">
        <f>VLOOKUP(A35,[3]TRTOTAL!$A$7:$D$313,3,FALSE)</f>
        <v>110.24500761686393</v>
      </c>
      <c r="F35" s="92">
        <f>VLOOKUP(A35,[3]TRTOTAL!$A$7:$D$313,4,FALSE)</f>
        <v>104.81303454743774</v>
      </c>
      <c r="G35" s="92">
        <f t="shared" si="48"/>
        <v>-4.3880987497630031E-2</v>
      </c>
      <c r="H35" s="92">
        <f t="shared" si="49"/>
        <v>-4.171889102269688E-2</v>
      </c>
      <c r="I35" s="54">
        <v>5.94</v>
      </c>
      <c r="J35" s="56">
        <v>5.673</v>
      </c>
      <c r="K35" s="54">
        <v>2.44</v>
      </c>
      <c r="L35" s="57">
        <v>2</v>
      </c>
      <c r="M35" s="57">
        <v>208</v>
      </c>
      <c r="N35" s="57"/>
      <c r="O35" s="55" t="s">
        <v>133</v>
      </c>
      <c r="P35" s="24">
        <f t="shared" si="2"/>
        <v>19.04221433333333</v>
      </c>
      <c r="Q35" s="24">
        <f t="shared" si="51"/>
        <v>8.9629999999999992</v>
      </c>
      <c r="R35" s="24">
        <f t="shared" si="4"/>
        <v>4.9853023333333324</v>
      </c>
      <c r="S35" s="87">
        <v>9</v>
      </c>
      <c r="T35" s="21">
        <f t="shared" si="5"/>
        <v>5.9013199999999992</v>
      </c>
      <c r="U35" s="21"/>
      <c r="V35" s="24">
        <f t="shared" si="6"/>
        <v>2.5179999999999998</v>
      </c>
      <c r="W35" s="24">
        <f t="shared" si="7"/>
        <v>2.6879999999999997</v>
      </c>
      <c r="X35" s="24">
        <f t="shared" si="8"/>
        <v>2.6354751183242393</v>
      </c>
      <c r="Y35" s="25">
        <f t="shared" si="9"/>
        <v>1</v>
      </c>
      <c r="Z35" s="24">
        <f t="shared" si="10"/>
        <v>17.062785372152245</v>
      </c>
      <c r="AA35" s="21">
        <f t="shared" si="11"/>
        <v>1.751706477945941</v>
      </c>
      <c r="AB35" s="24">
        <f t="shared" si="12"/>
        <v>4.2468057670555979</v>
      </c>
      <c r="AC35" s="24">
        <f t="shared" si="13"/>
        <v>24.507506389490615</v>
      </c>
      <c r="AD35" s="58">
        <f t="shared" si="14"/>
        <v>358</v>
      </c>
      <c r="AE35" s="58">
        <f t="shared" si="15"/>
        <v>364</v>
      </c>
      <c r="AF35" s="21">
        <f t="shared" si="16"/>
        <v>3.75</v>
      </c>
      <c r="AG35" s="77">
        <f t="shared" si="17"/>
        <v>0</v>
      </c>
      <c r="AH35" s="114">
        <f t="shared" si="50"/>
        <v>1.04</v>
      </c>
      <c r="AI35" s="59">
        <f t="shared" si="18"/>
        <v>106.84977222181971</v>
      </c>
      <c r="AJ35" s="59">
        <f t="shared" si="19"/>
        <v>101.5850886072987</v>
      </c>
      <c r="AK35" s="55">
        <v>8.9629999999999992</v>
      </c>
      <c r="AL35" s="55">
        <v>2.5179999999999998</v>
      </c>
      <c r="AM35" s="21">
        <f t="shared" si="20"/>
        <v>11.284416999999998</v>
      </c>
      <c r="AN35" s="54">
        <v>8.9629999999999992</v>
      </c>
      <c r="AO35" s="55">
        <v>0.22500000000000001</v>
      </c>
      <c r="AP35" s="21">
        <f t="shared" si="21"/>
        <v>1.3444499999999999</v>
      </c>
      <c r="AQ35" s="55"/>
      <c r="AR35" s="55"/>
      <c r="AS35" s="21">
        <f t="shared" si="22"/>
        <v>0</v>
      </c>
      <c r="AT35" s="54">
        <v>8.8780000000000001</v>
      </c>
      <c r="AU35" s="54">
        <v>0.83399999999999996</v>
      </c>
      <c r="AV35" s="21">
        <f t="shared" si="23"/>
        <v>3.7021259999999998</v>
      </c>
      <c r="AW35" s="54"/>
      <c r="AX35" s="54"/>
      <c r="AY35" s="21">
        <f t="shared" si="24"/>
        <v>0</v>
      </c>
      <c r="AZ35" s="54">
        <v>6.55</v>
      </c>
      <c r="BA35" s="54">
        <v>0.17299999999999999</v>
      </c>
      <c r="BB35" s="21">
        <f t="shared" si="25"/>
        <v>0.75543333333333329</v>
      </c>
      <c r="BC35" s="54">
        <v>1.57</v>
      </c>
      <c r="BD35" s="54">
        <v>6.5000000000000002E-2</v>
      </c>
      <c r="BE35" s="21">
        <f t="shared" si="26"/>
        <v>6.8033333333333335E-2</v>
      </c>
      <c r="BF35" s="55">
        <v>2.5430000000000001</v>
      </c>
      <c r="BG35" s="55">
        <v>0.216</v>
      </c>
      <c r="BH35" s="21">
        <f t="shared" si="27"/>
        <v>0.274644</v>
      </c>
      <c r="BI35" s="55">
        <v>1.502</v>
      </c>
      <c r="BJ35" s="55">
        <v>8.3000000000000004E-2</v>
      </c>
      <c r="BK35" s="21">
        <f t="shared" si="28"/>
        <v>8.311066666666668E-2</v>
      </c>
      <c r="BL35" s="55"/>
      <c r="BM35" s="55"/>
      <c r="BN35" s="21">
        <f t="shared" si="52"/>
        <v>0</v>
      </c>
      <c r="BO35" s="55"/>
      <c r="BP35" s="55"/>
      <c r="BQ35" s="21">
        <f t="shared" si="53"/>
        <v>0</v>
      </c>
      <c r="BR35" s="55"/>
      <c r="BS35" s="21">
        <f t="shared" si="31"/>
        <v>17.512214333333329</v>
      </c>
      <c r="BT35" s="56">
        <v>6.2779999999999996</v>
      </c>
      <c r="BU35" s="56">
        <v>1.6870000000000001</v>
      </c>
      <c r="BV35" s="21">
        <f t="shared" si="32"/>
        <v>5.2954929999999996</v>
      </c>
      <c r="BW35" s="77">
        <f t="shared" si="33"/>
        <v>6.2779999999999996</v>
      </c>
      <c r="BX35" s="55">
        <v>-3.2000000000000001E-2</v>
      </c>
      <c r="BY35" s="21">
        <f t="shared" si="34"/>
        <v>-0.13393066666666667</v>
      </c>
      <c r="BZ35" s="55">
        <v>5.83</v>
      </c>
      <c r="CA35" s="55">
        <v>-5.0999999999999997E-2</v>
      </c>
      <c r="CB35" s="21">
        <f t="shared" si="35"/>
        <v>-0.19821999999999998</v>
      </c>
      <c r="CC35" s="55">
        <v>1.83</v>
      </c>
      <c r="CD35" s="55">
        <v>1.7999999999999999E-2</v>
      </c>
      <c r="CE35" s="21">
        <f t="shared" si="36"/>
        <v>2.1959999999999997E-2</v>
      </c>
      <c r="CF35" s="21"/>
      <c r="CG35" s="21"/>
      <c r="CH35" s="21">
        <f t="shared" si="37"/>
        <v>0</v>
      </c>
      <c r="CI35" s="25">
        <f t="shared" si="38"/>
        <v>4.9853023333333324</v>
      </c>
      <c r="CJ35" s="54">
        <v>0.34</v>
      </c>
      <c r="CK35" s="21">
        <f t="shared" si="39"/>
        <v>1.53</v>
      </c>
      <c r="CL35" s="55"/>
      <c r="CM35" s="55"/>
      <c r="CN35" s="60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21">
        <f t="shared" si="40"/>
        <v>0</v>
      </c>
      <c r="CZ35" s="56"/>
      <c r="DA35" s="56"/>
      <c r="DB35" s="56"/>
      <c r="DC35" s="56"/>
      <c r="DD35" s="61">
        <f t="shared" si="41"/>
        <v>0</v>
      </c>
      <c r="DE35" s="21">
        <f t="shared" si="42"/>
        <v>0</v>
      </c>
      <c r="DF35" s="55"/>
      <c r="DG35" s="55"/>
      <c r="DH35" s="55"/>
      <c r="DI35" s="55"/>
      <c r="DJ35" s="104"/>
      <c r="DK35" s="53"/>
      <c r="DM35" s="58">
        <f t="shared" si="43"/>
        <v>1019.2636964475639</v>
      </c>
      <c r="DN35" s="58">
        <f t="shared" si="44"/>
        <v>769.76</v>
      </c>
      <c r="DO35" s="21">
        <f t="shared" si="45"/>
        <v>0.75521182858061342</v>
      </c>
      <c r="DP35" s="62">
        <f t="shared" si="46"/>
        <v>1.0313651057728901</v>
      </c>
      <c r="DQ35" s="7">
        <v>0</v>
      </c>
      <c r="DR35" s="107" t="str">
        <f t="shared" si="47"/>
        <v>yes</v>
      </c>
    </row>
    <row r="36" spans="1:122" ht="12.75" customHeight="1" x14ac:dyDescent="0.2">
      <c r="A36" s="53" t="s">
        <v>167</v>
      </c>
      <c r="B36" s="54">
        <v>2</v>
      </c>
      <c r="C36" s="92">
        <f t="shared" si="0"/>
        <v>111.43423594387716</v>
      </c>
      <c r="D36" s="92">
        <f t="shared" si="1"/>
        <v>107.00025124232329</v>
      </c>
      <c r="E36" s="92">
        <f>VLOOKUP(A36,[3]TRTOTAL!$A$7:$D$313,3,FALSE)</f>
        <v>111.43423594387716</v>
      </c>
      <c r="F36" s="92">
        <f>VLOOKUP(A36,[3]TRTOTAL!$A$7:$D$313,4,FALSE)</f>
        <v>107.00025124232329</v>
      </c>
      <c r="G36" s="92">
        <f t="shared" si="48"/>
        <v>0</v>
      </c>
      <c r="H36" s="92">
        <f t="shared" si="49"/>
        <v>0</v>
      </c>
      <c r="I36" s="54">
        <v>5.92</v>
      </c>
      <c r="J36" s="56">
        <v>5.65</v>
      </c>
      <c r="K36" s="54">
        <v>2.5</v>
      </c>
      <c r="L36" s="57">
        <v>2</v>
      </c>
      <c r="M36" s="57"/>
      <c r="N36" s="57">
        <v>174</v>
      </c>
      <c r="O36" s="55" t="s">
        <v>133</v>
      </c>
      <c r="P36" s="24">
        <f t="shared" ref="P36:P65" si="54">marea+areaMast+mssam+mareNoDet</f>
        <v>20.244996666666662</v>
      </c>
      <c r="Q36" s="24">
        <f t="shared" si="51"/>
        <v>9.35</v>
      </c>
      <c r="R36" s="24">
        <f t="shared" si="4"/>
        <v>0</v>
      </c>
      <c r="S36" s="87">
        <v>9.5</v>
      </c>
      <c r="T36" s="21">
        <f t="shared" ref="T36:T65" si="55">IF(gs_1,gs_1*0.94,VlgNoDetails)</f>
        <v>0</v>
      </c>
      <c r="U36" s="21"/>
      <c r="V36" s="24">
        <f t="shared" si="6"/>
        <v>2.4369999999999998</v>
      </c>
      <c r="W36" s="24">
        <f t="shared" ref="W36:W65" si="56">IF(circMast,circMast/2,0.16)+V36</f>
        <v>2.5994999999999999</v>
      </c>
      <c r="X36" s="24">
        <f t="shared" ref="X36:X65" si="57">msam/e^2</f>
        <v>2.9959741790737735</v>
      </c>
      <c r="Y36" s="25">
        <f t="shared" si="9"/>
        <v>1</v>
      </c>
      <c r="Z36" s="24">
        <f t="shared" si="10"/>
        <v>18.851848116101859</v>
      </c>
      <c r="AA36" s="21">
        <f t="shared" ref="AA36:AA65" si="58">IF(lpg,msag/lpg^2,0)</f>
        <v>0</v>
      </c>
      <c r="AB36" s="24">
        <f t="shared" si="12"/>
        <v>0</v>
      </c>
      <c r="AC36" s="24">
        <f t="shared" ref="AC36:AC65" si="59">rsam+rsag+IF(rsascr,rsascr-jibred*rsag,rsas-jibred*rsag)</f>
        <v>21.185285616101858</v>
      </c>
      <c r="AD36" s="58">
        <f t="shared" ref="AD36:AD65" si="60">IF(wsex,wsex,wsin-6)+crew*(IF(AND(crew=1,msam+msag&gt;=11),75,IF(loa&lt;=4,65,IF(loa&lt;=4.8,70,75))))</f>
        <v>318</v>
      </c>
      <c r="AE36" s="58">
        <f t="shared" ref="AE36:AE65" si="61">IF(wsin,wsin,wsex+6)+crew*(IF(AND(crew=1,msam+msag&gt;=11),75,IF(loa&lt;=4,65,IF(loa&lt;=4.8,70,75))))</f>
        <v>324</v>
      </c>
      <c r="AF36" s="21">
        <f t="shared" si="16"/>
        <v>2.3334375000000001</v>
      </c>
      <c r="AG36" s="77">
        <f t="shared" si="17"/>
        <v>0</v>
      </c>
      <c r="AH36" s="114">
        <f t="shared" si="50"/>
        <v>1.04</v>
      </c>
      <c r="AI36" s="59">
        <f t="shared" si="18"/>
        <v>108.11058210521747</v>
      </c>
      <c r="AJ36" s="59">
        <f t="shared" si="19"/>
        <v>103.80884608064382</v>
      </c>
      <c r="AK36" s="55">
        <v>9.35</v>
      </c>
      <c r="AL36" s="55">
        <v>2.4369999999999998</v>
      </c>
      <c r="AM36" s="21">
        <f t="shared" si="20"/>
        <v>11.392974999999998</v>
      </c>
      <c r="AN36" s="54">
        <v>9.35</v>
      </c>
      <c r="AO36" s="55">
        <v>0.153</v>
      </c>
      <c r="AP36" s="21">
        <f t="shared" ref="AP36:AP65" si="62">AN36*AO36*2/3</f>
        <v>0.95369999999999999</v>
      </c>
      <c r="AQ36" s="55"/>
      <c r="AR36" s="55"/>
      <c r="AS36" s="21">
        <f t="shared" ref="AS36:AS65" si="63">AQ36*AR36*2/3</f>
        <v>0</v>
      </c>
      <c r="AT36" s="54">
        <v>9.2100000000000009</v>
      </c>
      <c r="AU36" s="54">
        <v>0.86</v>
      </c>
      <c r="AV36" s="21">
        <f t="shared" ref="AV36:AV65" si="64">AT36*AU36*0.5</f>
        <v>3.9603000000000002</v>
      </c>
      <c r="AW36" s="54">
        <v>0.57299999999999995</v>
      </c>
      <c r="AX36" s="54">
        <v>0.04</v>
      </c>
      <c r="AY36" s="21">
        <f t="shared" ref="AY36:AY65" si="65">AW36*AX36*0.5</f>
        <v>1.146E-2</v>
      </c>
      <c r="AZ36" s="54">
        <v>7.5119999999999996</v>
      </c>
      <c r="BA36" s="54">
        <v>0.43</v>
      </c>
      <c r="BB36" s="21">
        <f t="shared" ref="BB36:BB65" si="66">AZ36*BA36*2/3</f>
        <v>2.1534399999999998</v>
      </c>
      <c r="BC36" s="54"/>
      <c r="BD36" s="54"/>
      <c r="BE36" s="21">
        <f t="shared" ref="BE36:BE65" si="67">BC36*BD36*2/3</f>
        <v>0</v>
      </c>
      <c r="BF36" s="55">
        <v>1.95</v>
      </c>
      <c r="BG36" s="55">
        <v>0.155</v>
      </c>
      <c r="BH36" s="21">
        <f t="shared" ref="BH36:BH65" si="68">BF36*BG36*0.5</f>
        <v>0.15112500000000001</v>
      </c>
      <c r="BI36" s="55">
        <v>1.21</v>
      </c>
      <c r="BJ36" s="55">
        <v>9.7000000000000003E-2</v>
      </c>
      <c r="BK36" s="21">
        <f t="shared" ref="BK36:BK65" si="69">BI36*BJ36*2/3</f>
        <v>7.8246666666666673E-2</v>
      </c>
      <c r="BL36" s="55"/>
      <c r="BM36" s="55"/>
      <c r="BN36" s="21">
        <f t="shared" si="52"/>
        <v>0</v>
      </c>
      <c r="BO36" s="55"/>
      <c r="BP36" s="55"/>
      <c r="BQ36" s="21">
        <f t="shared" si="53"/>
        <v>0</v>
      </c>
      <c r="BR36" s="55"/>
      <c r="BS36" s="21">
        <f t="shared" ref="BS36:BS65" si="70">AM36+AP36+AS36+AV36+AY36+BB36+BE36+BH36+BK36+BN36+BQ36</f>
        <v>18.701246666666663</v>
      </c>
      <c r="BT36" s="56">
        <v>0</v>
      </c>
      <c r="BU36" s="56"/>
      <c r="BV36" s="21">
        <f t="shared" si="32"/>
        <v>0</v>
      </c>
      <c r="BW36" s="77">
        <f t="shared" si="33"/>
        <v>0</v>
      </c>
      <c r="BX36" s="55"/>
      <c r="BY36" s="21">
        <f t="shared" si="34"/>
        <v>0</v>
      </c>
      <c r="BZ36" s="55"/>
      <c r="CA36" s="55"/>
      <c r="CB36" s="21">
        <f t="shared" si="35"/>
        <v>0</v>
      </c>
      <c r="CC36" s="54"/>
      <c r="CD36" s="54"/>
      <c r="CE36" s="21">
        <f t="shared" si="36"/>
        <v>0</v>
      </c>
      <c r="CF36" s="21"/>
      <c r="CG36" s="21"/>
      <c r="CH36" s="21">
        <f t="shared" si="37"/>
        <v>0</v>
      </c>
      <c r="CI36" s="25">
        <f t="shared" si="38"/>
        <v>0</v>
      </c>
      <c r="CJ36" s="54">
        <v>0.32500000000000001</v>
      </c>
      <c r="CK36" s="21">
        <f t="shared" ref="CK36:CK65" si="71">MastLength*circMast*0.5</f>
        <v>1.54375</v>
      </c>
      <c r="CL36" s="55"/>
      <c r="CM36" s="55"/>
      <c r="CN36" s="60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21">
        <f t="shared" ref="CY36:CY65" si="72">(CT36+4*CU36+2*CV36+4*CW36+CX36)*AN36/12</f>
        <v>0</v>
      </c>
      <c r="CZ36" s="56">
        <v>3.02</v>
      </c>
      <c r="DA36" s="56">
        <v>6.75</v>
      </c>
      <c r="DB36" s="56">
        <v>7.5</v>
      </c>
      <c r="DC36" s="56">
        <v>2.52</v>
      </c>
      <c r="DD36" s="61">
        <f t="shared" si="41"/>
        <v>0.83443708609271527</v>
      </c>
      <c r="DE36" s="21">
        <f t="shared" si="42"/>
        <v>15.556250000000002</v>
      </c>
      <c r="DF36" s="55"/>
      <c r="DG36" s="55"/>
      <c r="DH36" s="55"/>
      <c r="DI36" s="55"/>
      <c r="DJ36" s="104"/>
      <c r="DK36" s="53"/>
      <c r="DM36" s="58">
        <f t="shared" si="43"/>
        <v>967.91392551642832</v>
      </c>
      <c r="DN36" s="58">
        <f t="shared" ref="DN36:DN65" si="73">IF(wsex,0.5*wsex*width+(rwex-wsex)*width+trapeze*(rwex-wsex)/crew,0.5*(wsin-6)*width+(rwin-wsin)*width+trapeze*(rwin-wsin)/crew)</f>
        <v>735</v>
      </c>
      <c r="DO36" s="21">
        <f t="shared" ref="DO36:DO65" si="74">righting/heeling</f>
        <v>0.75936504334085531</v>
      </c>
      <c r="DP36" s="62">
        <f t="shared" si="46"/>
        <v>1.0307430944680787</v>
      </c>
      <c r="DQ36" s="7" t="s">
        <v>130</v>
      </c>
      <c r="DR36" s="107">
        <f t="shared" si="47"/>
        <v>0</v>
      </c>
    </row>
    <row r="37" spans="1:122" ht="12.75" customHeight="1" x14ac:dyDescent="0.2">
      <c r="A37" s="53" t="s">
        <v>168</v>
      </c>
      <c r="B37" s="54">
        <v>2</v>
      </c>
      <c r="C37" s="92">
        <f t="shared" si="0"/>
        <v>104.38083581564808</v>
      </c>
      <c r="D37" s="92">
        <f t="shared" si="1"/>
        <v>99.960418870354729</v>
      </c>
      <c r="E37" s="92">
        <f>VLOOKUP(A37,[3]TRTOTAL!$A$7:$D$313,3,FALSE)</f>
        <v>104.95771809188007</v>
      </c>
      <c r="F37" s="92">
        <f>VLOOKUP(A37,[3]TRTOTAL!$A$7:$D$313,4,FALSE)</f>
        <v>100.37014141528145</v>
      </c>
      <c r="G37" s="92">
        <f t="shared" si="48"/>
        <v>-0.57688227623198429</v>
      </c>
      <c r="H37" s="92">
        <f t="shared" si="49"/>
        <v>-0.40972254492672278</v>
      </c>
      <c r="I37" s="54">
        <v>5.52</v>
      </c>
      <c r="J37" s="56">
        <v>5.52</v>
      </c>
      <c r="K37" s="54">
        <v>2.6</v>
      </c>
      <c r="L37" s="57">
        <v>2</v>
      </c>
      <c r="M37" s="57"/>
      <c r="N37" s="57">
        <v>180</v>
      </c>
      <c r="O37" s="87"/>
      <c r="P37" s="24">
        <f t="shared" si="54"/>
        <v>17</v>
      </c>
      <c r="Q37" s="24">
        <f t="shared" si="51"/>
        <v>9.0500000000000007</v>
      </c>
      <c r="R37" s="24">
        <f t="shared" si="4"/>
        <v>4.3</v>
      </c>
      <c r="S37" s="87">
        <v>9</v>
      </c>
      <c r="T37" s="21">
        <f t="shared" si="55"/>
        <v>5.73</v>
      </c>
      <c r="U37" s="21">
        <v>2.1</v>
      </c>
      <c r="V37" s="24">
        <f t="shared" si="6"/>
        <v>2.1</v>
      </c>
      <c r="W37" s="24">
        <f t="shared" si="56"/>
        <v>2.2600000000000002</v>
      </c>
      <c r="X37" s="24">
        <f t="shared" si="57"/>
        <v>3.3283734043386315</v>
      </c>
      <c r="Y37" s="25">
        <f t="shared" si="9"/>
        <v>1</v>
      </c>
      <c r="Z37" s="24">
        <f t="shared" si="10"/>
        <v>16.337791034816128</v>
      </c>
      <c r="AA37" s="21">
        <f t="shared" si="58"/>
        <v>0</v>
      </c>
      <c r="AB37" s="24">
        <f t="shared" si="12"/>
        <v>3.87</v>
      </c>
      <c r="AC37" s="24">
        <f t="shared" si="59"/>
        <v>22.854691034816128</v>
      </c>
      <c r="AD37" s="58">
        <f t="shared" si="60"/>
        <v>324</v>
      </c>
      <c r="AE37" s="58">
        <f t="shared" si="61"/>
        <v>330</v>
      </c>
      <c r="AF37" s="21">
        <f t="shared" si="16"/>
        <v>3.15</v>
      </c>
      <c r="AG37" s="77">
        <f t="shared" si="17"/>
        <v>0</v>
      </c>
      <c r="AH37" s="114">
        <f t="shared" si="50"/>
        <v>1</v>
      </c>
      <c r="AI37" s="59">
        <f t="shared" si="18"/>
        <v>102.43303194979761</v>
      </c>
      <c r="AJ37" s="59">
        <f t="shared" si="19"/>
        <v>98.095102418476685</v>
      </c>
      <c r="AK37" s="55"/>
      <c r="AL37" s="55"/>
      <c r="AM37" s="21">
        <f t="shared" si="20"/>
        <v>0</v>
      </c>
      <c r="AN37" s="54">
        <v>9.0500000000000007</v>
      </c>
      <c r="AO37" s="55"/>
      <c r="AP37" s="21">
        <f t="shared" si="62"/>
        <v>0</v>
      </c>
      <c r="AQ37" s="55"/>
      <c r="AR37" s="55"/>
      <c r="AS37" s="21">
        <f t="shared" si="63"/>
        <v>0</v>
      </c>
      <c r="AT37" s="54"/>
      <c r="AU37" s="54"/>
      <c r="AV37" s="21">
        <f t="shared" si="64"/>
        <v>0</v>
      </c>
      <c r="AW37" s="54"/>
      <c r="AX37" s="54"/>
      <c r="AY37" s="21">
        <f t="shared" si="65"/>
        <v>0</v>
      </c>
      <c r="AZ37" s="54"/>
      <c r="BA37" s="54"/>
      <c r="BB37" s="21">
        <f t="shared" si="66"/>
        <v>0</v>
      </c>
      <c r="BC37" s="54"/>
      <c r="BD37" s="54"/>
      <c r="BE37" s="21">
        <f t="shared" si="67"/>
        <v>0</v>
      </c>
      <c r="BF37" s="55"/>
      <c r="BG37" s="55"/>
      <c r="BH37" s="21">
        <f t="shared" si="68"/>
        <v>0</v>
      </c>
      <c r="BI37" s="55"/>
      <c r="BJ37" s="55"/>
      <c r="BK37" s="21">
        <f t="shared" si="69"/>
        <v>0</v>
      </c>
      <c r="BL37" s="55"/>
      <c r="BM37" s="55"/>
      <c r="BN37" s="21">
        <f t="shared" si="52"/>
        <v>0</v>
      </c>
      <c r="BO37" s="55"/>
      <c r="BP37" s="55"/>
      <c r="BQ37" s="21">
        <f t="shared" si="53"/>
        <v>0</v>
      </c>
      <c r="BR37" s="55"/>
      <c r="BS37" s="21">
        <f t="shared" si="70"/>
        <v>0</v>
      </c>
      <c r="BT37" s="56">
        <v>0</v>
      </c>
      <c r="BU37" s="56"/>
      <c r="BV37" s="21">
        <f t="shared" si="32"/>
        <v>0</v>
      </c>
      <c r="BW37" s="77">
        <f t="shared" si="33"/>
        <v>0</v>
      </c>
      <c r="BX37" s="55"/>
      <c r="BY37" s="21">
        <f t="shared" si="34"/>
        <v>0</v>
      </c>
      <c r="BZ37" s="55"/>
      <c r="CA37" s="55"/>
      <c r="CB37" s="21">
        <f t="shared" si="35"/>
        <v>0</v>
      </c>
      <c r="CC37" s="55"/>
      <c r="CD37" s="55"/>
      <c r="CE37" s="21">
        <f t="shared" si="36"/>
        <v>0</v>
      </c>
      <c r="CF37" s="21"/>
      <c r="CG37" s="21"/>
      <c r="CH37" s="21">
        <f t="shared" si="37"/>
        <v>0</v>
      </c>
      <c r="CI37" s="25">
        <f t="shared" si="38"/>
        <v>4.3</v>
      </c>
      <c r="CJ37" s="54"/>
      <c r="CK37" s="21">
        <f t="shared" si="71"/>
        <v>0</v>
      </c>
      <c r="CL37" s="55"/>
      <c r="CM37" s="55"/>
      <c r="CN37" s="60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21">
        <f t="shared" si="72"/>
        <v>0</v>
      </c>
      <c r="CZ37" s="56"/>
      <c r="DA37" s="56"/>
      <c r="DB37" s="56"/>
      <c r="DC37" s="56"/>
      <c r="DD37" s="61">
        <f t="shared" si="41"/>
        <v>0</v>
      </c>
      <c r="DE37" s="21">
        <f t="shared" si="42"/>
        <v>21</v>
      </c>
      <c r="DF37" s="55">
        <v>17</v>
      </c>
      <c r="DG37" s="55">
        <v>4.3</v>
      </c>
      <c r="DH37" s="55">
        <v>5.73</v>
      </c>
      <c r="DI37" s="55">
        <v>21</v>
      </c>
      <c r="DJ37" s="104"/>
      <c r="DK37" s="53" t="s">
        <v>169</v>
      </c>
      <c r="DM37" s="58">
        <f t="shared" si="43"/>
        <v>909.31118396160002</v>
      </c>
      <c r="DN37" s="58">
        <f t="shared" si="73"/>
        <v>766.2</v>
      </c>
      <c r="DO37" s="21">
        <f t="shared" si="74"/>
        <v>0.84261583219717273</v>
      </c>
      <c r="DP37" s="62">
        <f t="shared" si="46"/>
        <v>1.0190153881885005</v>
      </c>
      <c r="DQ37" s="7" t="s">
        <v>130</v>
      </c>
      <c r="DR37" s="107" t="str">
        <f t="shared" si="47"/>
        <v>yes</v>
      </c>
    </row>
    <row r="38" spans="1:122" ht="12.75" customHeight="1" x14ac:dyDescent="0.2">
      <c r="A38" s="53" t="s">
        <v>170</v>
      </c>
      <c r="B38" s="54">
        <v>1</v>
      </c>
      <c r="C38" s="92">
        <f t="shared" ref="C38:C67" si="75">AI38*PowerFactor</f>
        <v>120.77172056432539</v>
      </c>
      <c r="D38" s="92">
        <f t="shared" ref="D38:D67" si="76">AJ38*PowerFactor*IF(crew=1,1.01,1)</f>
        <v>116.83323502934741</v>
      </c>
      <c r="E38" s="92">
        <f>VLOOKUP(A38,[3]TRTOTAL!$A$7:$D$313,3,FALSE)</f>
        <v>120.77172056432539</v>
      </c>
      <c r="F38" s="92">
        <f>VLOOKUP(A38,[3]TRTOTAL!$A$7:$D$313,4,FALSE)</f>
        <v>116.83323502934741</v>
      </c>
      <c r="G38" s="92">
        <f t="shared" si="48"/>
        <v>0</v>
      </c>
      <c r="H38" s="92">
        <f t="shared" si="49"/>
        <v>0</v>
      </c>
      <c r="I38" s="54">
        <v>4.54</v>
      </c>
      <c r="J38" s="56">
        <v>4.3360000000000003</v>
      </c>
      <c r="K38" s="54">
        <v>2.13</v>
      </c>
      <c r="L38" s="57">
        <v>1</v>
      </c>
      <c r="M38" s="57">
        <v>126</v>
      </c>
      <c r="N38" s="57"/>
      <c r="O38" s="55" t="s">
        <v>133</v>
      </c>
      <c r="P38" s="24">
        <f t="shared" si="54"/>
        <v>11.396264666666667</v>
      </c>
      <c r="Q38" s="24">
        <f t="shared" si="51"/>
        <v>7.1689999999999996</v>
      </c>
      <c r="R38" s="24">
        <f t="shared" ref="R38:R67" si="77">CI38</f>
        <v>2.4632346666666667</v>
      </c>
      <c r="S38" s="87">
        <v>7.5</v>
      </c>
      <c r="T38" s="21">
        <f t="shared" si="55"/>
        <v>3.7975999999999996</v>
      </c>
      <c r="U38" s="21"/>
      <c r="V38" s="24">
        <f t="shared" ref="V38:V67" si="78">IF(e_sp,e_sp,(IF(mfoot,MAX(CU38:CX38),IF(mainh1,mainh1,vlm*0.3))))</f>
        <v>1.679</v>
      </c>
      <c r="W38" s="24">
        <f t="shared" si="56"/>
        <v>1.839</v>
      </c>
      <c r="X38" s="24">
        <f t="shared" si="57"/>
        <v>3.3697607562881178</v>
      </c>
      <c r="Y38" s="25">
        <f t="shared" si="9"/>
        <v>1</v>
      </c>
      <c r="Z38" s="24">
        <f t="shared" si="10"/>
        <v>10.99302080524836</v>
      </c>
      <c r="AA38" s="21">
        <f t="shared" si="58"/>
        <v>1.6019996531390912</v>
      </c>
      <c r="AB38" s="24">
        <f t="shared" si="12"/>
        <v>2.042852497034803</v>
      </c>
      <c r="AC38" s="24">
        <f t="shared" si="59"/>
        <v>14.870302477668638</v>
      </c>
      <c r="AD38" s="58">
        <f t="shared" si="60"/>
        <v>201</v>
      </c>
      <c r="AE38" s="58">
        <f t="shared" si="61"/>
        <v>207</v>
      </c>
      <c r="AF38" s="21">
        <f t="shared" si="16"/>
        <v>2.1</v>
      </c>
      <c r="AG38" s="77">
        <f t="shared" si="17"/>
        <v>0</v>
      </c>
      <c r="AH38" s="114">
        <f t="shared" si="50"/>
        <v>1.04</v>
      </c>
      <c r="AI38" s="59">
        <f t="shared" si="18"/>
        <v>116.8668620771884</v>
      </c>
      <c r="AJ38" s="59">
        <f t="shared" si="19"/>
        <v>111.93635430551296</v>
      </c>
      <c r="AK38" s="55">
        <v>7.1689999999999996</v>
      </c>
      <c r="AL38" s="55">
        <v>1.679</v>
      </c>
      <c r="AM38" s="21">
        <f t="shared" si="20"/>
        <v>6.0183754999999994</v>
      </c>
      <c r="AN38" s="54">
        <v>7.1689999999999996</v>
      </c>
      <c r="AO38" s="55">
        <v>0.14000000000000001</v>
      </c>
      <c r="AP38" s="21">
        <f t="shared" si="62"/>
        <v>0.66910666666666663</v>
      </c>
      <c r="AQ38" s="55"/>
      <c r="AR38" s="55"/>
      <c r="AS38" s="21">
        <f t="shared" si="63"/>
        <v>0</v>
      </c>
      <c r="AT38" s="54">
        <v>6.7670000000000003</v>
      </c>
      <c r="AU38" s="54">
        <v>0.71499999999999997</v>
      </c>
      <c r="AV38" s="21">
        <f t="shared" si="64"/>
        <v>2.4192024999999999</v>
      </c>
      <c r="AW38" s="54">
        <v>1.76</v>
      </c>
      <c r="AX38" s="54">
        <v>9.8000000000000004E-2</v>
      </c>
      <c r="AY38" s="21">
        <f t="shared" si="65"/>
        <v>8.6239999999999997E-2</v>
      </c>
      <c r="AZ38" s="54">
        <v>4.9370000000000003</v>
      </c>
      <c r="BA38" s="54">
        <v>0.24</v>
      </c>
      <c r="BB38" s="21">
        <f t="shared" si="66"/>
        <v>0.78991999999999996</v>
      </c>
      <c r="BC38" s="54"/>
      <c r="BD38" s="54"/>
      <c r="BE38" s="21">
        <f t="shared" si="67"/>
        <v>0</v>
      </c>
      <c r="BF38" s="55">
        <v>2.0110000000000001</v>
      </c>
      <c r="BG38" s="55">
        <v>0.16</v>
      </c>
      <c r="BH38" s="21">
        <f t="shared" si="68"/>
        <v>0.16088000000000002</v>
      </c>
      <c r="BI38" s="55">
        <v>1.1100000000000001</v>
      </c>
      <c r="BJ38" s="55">
        <v>7.0999999999999994E-2</v>
      </c>
      <c r="BK38" s="21">
        <f t="shared" si="69"/>
        <v>5.2540000000000003E-2</v>
      </c>
      <c r="BL38" s="55"/>
      <c r="BM38" s="55"/>
      <c r="BN38" s="21">
        <f t="shared" si="52"/>
        <v>0</v>
      </c>
      <c r="BO38" s="55"/>
      <c r="BP38" s="55"/>
      <c r="BQ38" s="21">
        <f t="shared" si="53"/>
        <v>0</v>
      </c>
      <c r="BR38" s="55"/>
      <c r="BS38" s="21">
        <f t="shared" si="70"/>
        <v>10.196264666666668</v>
      </c>
      <c r="BT38" s="56">
        <v>4.04</v>
      </c>
      <c r="BU38" s="56">
        <v>1.24</v>
      </c>
      <c r="BV38" s="21">
        <f t="shared" si="32"/>
        <v>2.5047999999999999</v>
      </c>
      <c r="BW38" s="77">
        <f t="shared" si="33"/>
        <v>4.04</v>
      </c>
      <c r="BX38" s="55">
        <v>2.1999999999999999E-2</v>
      </c>
      <c r="BY38" s="21">
        <f t="shared" si="34"/>
        <v>5.9253333333333331E-2</v>
      </c>
      <c r="BZ38" s="55">
        <v>3.77</v>
      </c>
      <c r="CA38" s="55">
        <v>-4.3999999999999997E-2</v>
      </c>
      <c r="CB38" s="21">
        <f t="shared" si="35"/>
        <v>-0.11058666666666667</v>
      </c>
      <c r="CC38" s="54">
        <v>1.3320000000000001</v>
      </c>
      <c r="CD38" s="54">
        <v>1.0999999999999999E-2</v>
      </c>
      <c r="CE38" s="21">
        <f t="shared" si="36"/>
        <v>9.7680000000000006E-3</v>
      </c>
      <c r="CF38" s="21"/>
      <c r="CG38" s="21"/>
      <c r="CH38" s="21">
        <f t="shared" si="37"/>
        <v>0</v>
      </c>
      <c r="CI38" s="25">
        <f t="shared" si="38"/>
        <v>2.4632346666666667</v>
      </c>
      <c r="CJ38" s="54">
        <v>0.32</v>
      </c>
      <c r="CK38" s="21">
        <f t="shared" si="71"/>
        <v>1.2</v>
      </c>
      <c r="CL38" s="55"/>
      <c r="CM38" s="55"/>
      <c r="CN38" s="60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21">
        <f t="shared" si="72"/>
        <v>0</v>
      </c>
      <c r="CZ38" s="56"/>
      <c r="DA38" s="56"/>
      <c r="DB38" s="56"/>
      <c r="DC38" s="56"/>
      <c r="DD38" s="61">
        <f t="shared" si="41"/>
        <v>0</v>
      </c>
      <c r="DE38" s="21">
        <f t="shared" si="42"/>
        <v>0</v>
      </c>
      <c r="DF38" s="55"/>
      <c r="DG38" s="55"/>
      <c r="DH38" s="55"/>
      <c r="DI38" s="55"/>
      <c r="DJ38" s="104"/>
      <c r="DK38" s="53"/>
      <c r="DM38" s="58">
        <f t="shared" si="43"/>
        <v>497.41422434284908</v>
      </c>
      <c r="DN38" s="58">
        <f t="shared" si="73"/>
        <v>368.94</v>
      </c>
      <c r="DO38" s="21">
        <f t="shared" si="74"/>
        <v>0.74171582143116077</v>
      </c>
      <c r="DP38" s="62">
        <f t="shared" ref="DP38:DP67" si="79">IF((1/DO38)^$DP$5&lt;1,1,(1/DO38)^$DP$5)</f>
        <v>1.0334128804156468</v>
      </c>
      <c r="DQ38" s="7" t="s">
        <v>130</v>
      </c>
      <c r="DR38" s="107">
        <f t="shared" si="47"/>
        <v>0</v>
      </c>
    </row>
    <row r="39" spans="1:122" ht="12.75" customHeight="1" x14ac:dyDescent="0.2">
      <c r="A39" s="53" t="s">
        <v>575</v>
      </c>
      <c r="B39" s="54">
        <v>1</v>
      </c>
      <c r="C39" s="92">
        <f t="shared" si="75"/>
        <v>127.17241067982853</v>
      </c>
      <c r="D39" s="92">
        <f t="shared" si="76"/>
        <v>120.93688327160621</v>
      </c>
      <c r="E39" s="92">
        <f>VLOOKUP(A39,[3]TRTOTAL!$A$7:$D$313,3,FALSE)</f>
        <v>127.17241067982853</v>
      </c>
      <c r="F39" s="92">
        <f>VLOOKUP(A39,[3]TRTOTAL!$A$7:$D$313,4,FALSE)</f>
        <v>120.93688327160621</v>
      </c>
      <c r="G39" s="92">
        <f t="shared" si="48"/>
        <v>0</v>
      </c>
      <c r="H39" s="92">
        <f t="shared" si="49"/>
        <v>0</v>
      </c>
      <c r="I39" s="54">
        <v>4.54</v>
      </c>
      <c r="J39" s="56">
        <v>4.3360000000000003</v>
      </c>
      <c r="K39" s="54">
        <v>2.13</v>
      </c>
      <c r="L39" s="57">
        <v>1</v>
      </c>
      <c r="M39" s="57">
        <v>123</v>
      </c>
      <c r="N39" s="57"/>
      <c r="O39" s="55" t="s">
        <v>133</v>
      </c>
      <c r="P39" s="24">
        <f t="shared" si="54"/>
        <v>11.396264666666667</v>
      </c>
      <c r="Q39" s="24">
        <f t="shared" si="51"/>
        <v>7.1689999999999996</v>
      </c>
      <c r="R39" s="24">
        <f t="shared" si="77"/>
        <v>0</v>
      </c>
      <c r="S39" s="87">
        <v>7.5</v>
      </c>
      <c r="T39" s="21">
        <f t="shared" si="55"/>
        <v>0</v>
      </c>
      <c r="U39" s="21"/>
      <c r="V39" s="24">
        <f t="shared" si="78"/>
        <v>1.679</v>
      </c>
      <c r="W39" s="24">
        <f t="shared" si="56"/>
        <v>1.839</v>
      </c>
      <c r="X39" s="24">
        <f t="shared" si="57"/>
        <v>3.3697607562881178</v>
      </c>
      <c r="Y39" s="25">
        <f t="shared" si="9"/>
        <v>1</v>
      </c>
      <c r="Z39" s="24">
        <f t="shared" si="10"/>
        <v>10.99302080524836</v>
      </c>
      <c r="AA39" s="21">
        <f t="shared" si="58"/>
        <v>0</v>
      </c>
      <c r="AB39" s="24">
        <f t="shared" si="12"/>
        <v>0</v>
      </c>
      <c r="AC39" s="24">
        <f t="shared" si="59"/>
        <v>13.09302080524836</v>
      </c>
      <c r="AD39" s="58">
        <f t="shared" si="60"/>
        <v>198</v>
      </c>
      <c r="AE39" s="58">
        <f t="shared" si="61"/>
        <v>204</v>
      </c>
      <c r="AF39" s="21">
        <f t="shared" si="16"/>
        <v>2.1</v>
      </c>
      <c r="AG39" s="77">
        <f t="shared" si="17"/>
        <v>0</v>
      </c>
      <c r="AH39" s="114">
        <f t="shared" si="50"/>
        <v>1.04</v>
      </c>
      <c r="AI39" s="59">
        <f t="shared" si="18"/>
        <v>124.50250333692645</v>
      </c>
      <c r="AJ39" s="59">
        <f t="shared" si="19"/>
        <v>117.22563072337591</v>
      </c>
      <c r="AK39" s="55">
        <v>7.1689999999999996</v>
      </c>
      <c r="AL39" s="55">
        <v>1.679</v>
      </c>
      <c r="AM39" s="21">
        <f t="shared" si="20"/>
        <v>6.0183754999999994</v>
      </c>
      <c r="AN39" s="54">
        <v>7.1689999999999996</v>
      </c>
      <c r="AO39" s="55">
        <v>0.14000000000000001</v>
      </c>
      <c r="AP39" s="21">
        <f t="shared" si="62"/>
        <v>0.66910666666666663</v>
      </c>
      <c r="AQ39" s="55"/>
      <c r="AR39" s="55"/>
      <c r="AS39" s="21">
        <f t="shared" si="63"/>
        <v>0</v>
      </c>
      <c r="AT39" s="54">
        <v>6.7670000000000003</v>
      </c>
      <c r="AU39" s="54">
        <v>0.71499999999999997</v>
      </c>
      <c r="AV39" s="21">
        <f t="shared" si="64"/>
        <v>2.4192024999999999</v>
      </c>
      <c r="AW39" s="54">
        <v>1.76</v>
      </c>
      <c r="AX39" s="54">
        <v>9.8000000000000004E-2</v>
      </c>
      <c r="AY39" s="21">
        <f t="shared" si="65"/>
        <v>8.6239999999999997E-2</v>
      </c>
      <c r="AZ39" s="54">
        <v>4.9370000000000003</v>
      </c>
      <c r="BA39" s="54">
        <v>0.24</v>
      </c>
      <c r="BB39" s="21">
        <f t="shared" si="66"/>
        <v>0.78991999999999996</v>
      </c>
      <c r="BC39" s="54"/>
      <c r="BD39" s="54"/>
      <c r="BE39" s="21">
        <f t="shared" si="67"/>
        <v>0</v>
      </c>
      <c r="BF39" s="55">
        <v>2.0110000000000001</v>
      </c>
      <c r="BG39" s="55">
        <v>0.16</v>
      </c>
      <c r="BH39" s="21">
        <f t="shared" si="68"/>
        <v>0.16088000000000002</v>
      </c>
      <c r="BI39" s="55">
        <v>1.1100000000000001</v>
      </c>
      <c r="BJ39" s="55">
        <v>7.0999999999999994E-2</v>
      </c>
      <c r="BK39" s="21">
        <f t="shared" si="69"/>
        <v>5.2540000000000003E-2</v>
      </c>
      <c r="BL39" s="55"/>
      <c r="BM39" s="55"/>
      <c r="BN39" s="21">
        <f t="shared" si="52"/>
        <v>0</v>
      </c>
      <c r="BO39" s="55"/>
      <c r="BP39" s="55"/>
      <c r="BQ39" s="21">
        <f t="shared" si="53"/>
        <v>0</v>
      </c>
      <c r="BR39" s="55"/>
      <c r="BS39" s="21">
        <f t="shared" si="70"/>
        <v>10.196264666666668</v>
      </c>
      <c r="BT39" s="56">
        <v>0</v>
      </c>
      <c r="BU39" s="56"/>
      <c r="BV39" s="21">
        <f t="shared" si="32"/>
        <v>0</v>
      </c>
      <c r="BW39" s="77">
        <f t="shared" si="33"/>
        <v>0</v>
      </c>
      <c r="BX39" s="55"/>
      <c r="BY39" s="21">
        <f t="shared" si="34"/>
        <v>0</v>
      </c>
      <c r="BZ39" s="55"/>
      <c r="CA39" s="55"/>
      <c r="CB39" s="21">
        <f t="shared" si="35"/>
        <v>0</v>
      </c>
      <c r="CC39" s="55"/>
      <c r="CD39" s="55"/>
      <c r="CE39" s="21">
        <f t="shared" si="36"/>
        <v>0</v>
      </c>
      <c r="CF39" s="21"/>
      <c r="CG39" s="21"/>
      <c r="CH39" s="21">
        <f t="shared" si="37"/>
        <v>0</v>
      </c>
      <c r="CI39" s="25">
        <f t="shared" si="38"/>
        <v>0</v>
      </c>
      <c r="CJ39" s="54">
        <v>0.32</v>
      </c>
      <c r="CK39" s="21">
        <f t="shared" si="71"/>
        <v>1.2</v>
      </c>
      <c r="CL39" s="55"/>
      <c r="CM39" s="55"/>
      <c r="CN39" s="60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21">
        <f t="shared" si="72"/>
        <v>0</v>
      </c>
      <c r="CZ39" s="56"/>
      <c r="DA39" s="56"/>
      <c r="DB39" s="56"/>
      <c r="DC39" s="56"/>
      <c r="DD39" s="61">
        <f t="shared" si="41"/>
        <v>0</v>
      </c>
      <c r="DE39" s="21">
        <f t="shared" si="42"/>
        <v>0</v>
      </c>
      <c r="DF39" s="55"/>
      <c r="DG39" s="55"/>
      <c r="DH39" s="55"/>
      <c r="DI39" s="55"/>
      <c r="DJ39" s="104"/>
      <c r="DK39" s="53"/>
      <c r="DM39" s="58">
        <f t="shared" si="43"/>
        <v>443.55705312917655</v>
      </c>
      <c r="DN39" s="58">
        <f t="shared" si="73"/>
        <v>365.745</v>
      </c>
      <c r="DO39" s="21">
        <f t="shared" si="74"/>
        <v>0.82457261680265637</v>
      </c>
      <c r="DP39" s="62">
        <f t="shared" si="79"/>
        <v>1.0214446077094275</v>
      </c>
      <c r="DQ39" s="7" t="s">
        <v>130</v>
      </c>
      <c r="DR39" s="107">
        <f t="shared" si="47"/>
        <v>0</v>
      </c>
    </row>
    <row r="40" spans="1:122" ht="12.75" customHeight="1" x14ac:dyDescent="0.2">
      <c r="A40" s="53" t="s">
        <v>171</v>
      </c>
      <c r="B40" s="54">
        <v>2</v>
      </c>
      <c r="C40" s="92">
        <f t="shared" si="75"/>
        <v>102.77652526853574</v>
      </c>
      <c r="D40" s="92">
        <f t="shared" si="76"/>
        <v>98.249000676031343</v>
      </c>
      <c r="E40" s="92">
        <f>VLOOKUP(A40,[3]TRTOTAL!$A$7:$D$313,3,FALSE)</f>
        <v>102.77652526853574</v>
      </c>
      <c r="F40" s="92">
        <f>VLOOKUP(A40,[3]TRTOTAL!$A$7:$D$313,4,FALSE)</f>
        <v>98.249000676031343</v>
      </c>
      <c r="G40" s="92">
        <f t="shared" si="48"/>
        <v>0</v>
      </c>
      <c r="H40" s="92">
        <f t="shared" si="49"/>
        <v>0</v>
      </c>
      <c r="I40" s="54">
        <v>5.5</v>
      </c>
      <c r="J40" s="56">
        <v>5.5</v>
      </c>
      <c r="K40" s="54">
        <v>2.5</v>
      </c>
      <c r="L40" s="58">
        <v>2</v>
      </c>
      <c r="M40" s="57"/>
      <c r="N40" s="57">
        <v>128</v>
      </c>
      <c r="O40" s="87"/>
      <c r="P40" s="24">
        <f t="shared" si="54"/>
        <v>15.768983333333333</v>
      </c>
      <c r="Q40" s="24">
        <f t="shared" si="51"/>
        <v>8.8699999999999992</v>
      </c>
      <c r="R40" s="24">
        <f t="shared" si="77"/>
        <v>4.0877333333333326</v>
      </c>
      <c r="S40" s="87">
        <v>9.3000000000000007</v>
      </c>
      <c r="T40" s="21">
        <f t="shared" si="55"/>
        <v>6.2039999999999997</v>
      </c>
      <c r="U40" s="21"/>
      <c r="V40" s="24">
        <f t="shared" si="78"/>
        <v>2.1800000000000002</v>
      </c>
      <c r="W40" s="24">
        <f t="shared" si="56"/>
        <v>2.3450000000000002</v>
      </c>
      <c r="X40" s="24">
        <f t="shared" si="57"/>
        <v>2.8675962253914706</v>
      </c>
      <c r="Y40" s="25">
        <f t="shared" si="9"/>
        <v>1</v>
      </c>
      <c r="Z40" s="24">
        <f t="shared" si="10"/>
        <v>14.492185917278176</v>
      </c>
      <c r="AA40" s="21">
        <f t="shared" si="58"/>
        <v>2.8387037037037031</v>
      </c>
      <c r="AB40" s="24">
        <f t="shared" si="12"/>
        <v>4.0248627218400053</v>
      </c>
      <c r="AC40" s="24">
        <f t="shared" si="59"/>
        <v>21.095285235278979</v>
      </c>
      <c r="AD40" s="58">
        <f t="shared" si="60"/>
        <v>272</v>
      </c>
      <c r="AE40" s="58">
        <f t="shared" si="61"/>
        <v>278</v>
      </c>
      <c r="AF40" s="21">
        <f t="shared" si="16"/>
        <v>3.10146875</v>
      </c>
      <c r="AG40" s="77">
        <f t="shared" si="17"/>
        <v>0</v>
      </c>
      <c r="AH40" s="114">
        <f t="shared" si="50"/>
        <v>1</v>
      </c>
      <c r="AI40" s="59">
        <f t="shared" si="18"/>
        <v>100.32277572135197</v>
      </c>
      <c r="AJ40" s="59">
        <f t="shared" si="19"/>
        <v>95.90334401669034</v>
      </c>
      <c r="AK40" s="55">
        <v>8.8699999999999992</v>
      </c>
      <c r="AL40" s="55">
        <v>2.1800000000000002</v>
      </c>
      <c r="AM40" s="21">
        <v>8.8699999999999992</v>
      </c>
      <c r="AN40" s="54">
        <v>8.8699999999999992</v>
      </c>
      <c r="AO40" s="55">
        <v>0.13</v>
      </c>
      <c r="AP40" s="21">
        <f t="shared" si="62"/>
        <v>0.76873333333333338</v>
      </c>
      <c r="AQ40" s="55"/>
      <c r="AR40" s="55">
        <v>0</v>
      </c>
      <c r="AS40" s="21">
        <f t="shared" si="63"/>
        <v>0</v>
      </c>
      <c r="AT40" s="54">
        <v>8.65</v>
      </c>
      <c r="AU40" s="54">
        <v>0.75</v>
      </c>
      <c r="AV40" s="21">
        <f t="shared" si="64"/>
        <v>3.2437500000000004</v>
      </c>
      <c r="AW40" s="54"/>
      <c r="AX40" s="54"/>
      <c r="AY40" s="21">
        <f t="shared" si="65"/>
        <v>0</v>
      </c>
      <c r="AZ40" s="54">
        <v>8.4499999999999993</v>
      </c>
      <c r="BA40" s="54">
        <v>0.24</v>
      </c>
      <c r="BB40" s="21">
        <f t="shared" si="66"/>
        <v>1.3519999999999996</v>
      </c>
      <c r="BC40" s="54"/>
      <c r="BD40" s="54"/>
      <c r="BE40" s="21">
        <f t="shared" si="67"/>
        <v>0</v>
      </c>
      <c r="BF40" s="55"/>
      <c r="BG40" s="55"/>
      <c r="BH40" s="21">
        <f t="shared" si="68"/>
        <v>0</v>
      </c>
      <c r="BI40" s="55"/>
      <c r="BJ40" s="55"/>
      <c r="BK40" s="21">
        <f t="shared" si="69"/>
        <v>0</v>
      </c>
      <c r="BL40" s="55"/>
      <c r="BM40" s="55"/>
      <c r="BN40" s="21">
        <f t="shared" si="52"/>
        <v>0</v>
      </c>
      <c r="BO40" s="55"/>
      <c r="BP40" s="55"/>
      <c r="BQ40" s="21">
        <f t="shared" si="53"/>
        <v>0</v>
      </c>
      <c r="BR40" s="55"/>
      <c r="BS40" s="21">
        <f t="shared" si="70"/>
        <v>14.234483333333333</v>
      </c>
      <c r="BT40" s="56">
        <v>6.6</v>
      </c>
      <c r="BU40" s="56">
        <v>1.2</v>
      </c>
      <c r="BV40" s="21">
        <f t="shared" si="32"/>
        <v>3.9599999999999995</v>
      </c>
      <c r="BW40" s="77">
        <f t="shared" si="33"/>
        <v>6.6</v>
      </c>
      <c r="BX40" s="55">
        <v>-0.01</v>
      </c>
      <c r="BY40" s="21">
        <f t="shared" si="34"/>
        <v>-4.4000000000000004E-2</v>
      </c>
      <c r="BZ40" s="55">
        <v>1.24</v>
      </c>
      <c r="CA40" s="55">
        <v>0.01</v>
      </c>
      <c r="CB40" s="21">
        <f t="shared" si="35"/>
        <v>8.266666666666667E-3</v>
      </c>
      <c r="CC40" s="54">
        <v>6.13</v>
      </c>
      <c r="CD40" s="54">
        <v>0.04</v>
      </c>
      <c r="CE40" s="21">
        <f t="shared" si="36"/>
        <v>0.16346666666666668</v>
      </c>
      <c r="CF40" s="21"/>
      <c r="CG40" s="21"/>
      <c r="CH40" s="21">
        <f t="shared" si="37"/>
        <v>0</v>
      </c>
      <c r="CI40" s="25">
        <f t="shared" si="38"/>
        <v>4.0877333333333326</v>
      </c>
      <c r="CJ40" s="54">
        <v>0.33</v>
      </c>
      <c r="CK40" s="21">
        <f t="shared" si="71"/>
        <v>1.5345000000000002</v>
      </c>
      <c r="CL40" s="55" t="s">
        <v>172</v>
      </c>
      <c r="CM40" s="55" t="s">
        <v>173</v>
      </c>
      <c r="CN40" s="60">
        <v>39254</v>
      </c>
      <c r="CO40" s="55" t="s">
        <v>142</v>
      </c>
      <c r="CP40" s="55"/>
      <c r="CQ40" s="55"/>
      <c r="CR40" s="55"/>
      <c r="CS40" s="55">
        <v>0</v>
      </c>
      <c r="CT40" s="55"/>
      <c r="CU40" s="55"/>
      <c r="CV40" s="55"/>
      <c r="CW40" s="55"/>
      <c r="CX40" s="55"/>
      <c r="CY40" s="21">
        <f t="shared" si="72"/>
        <v>0</v>
      </c>
      <c r="CZ40" s="56">
        <v>3.73</v>
      </c>
      <c r="DA40" s="56">
        <v>7.72</v>
      </c>
      <c r="DB40" s="56">
        <v>8.5500000000000007</v>
      </c>
      <c r="DC40" s="56">
        <v>2.88</v>
      </c>
      <c r="DD40" s="61">
        <f t="shared" si="41"/>
        <v>0.77211796246648789</v>
      </c>
      <c r="DE40" s="21">
        <f t="shared" si="42"/>
        <v>20.676458333333333</v>
      </c>
      <c r="DF40" s="55"/>
      <c r="DG40" s="55"/>
      <c r="DH40" s="55"/>
      <c r="DI40" s="55"/>
      <c r="DJ40" s="104"/>
      <c r="DK40"/>
      <c r="DM40" s="58">
        <f t="shared" si="43"/>
        <v>843.942492929482</v>
      </c>
      <c r="DN40" s="58">
        <f t="shared" si="73"/>
        <v>677.5</v>
      </c>
      <c r="DO40" s="21">
        <f t="shared" si="74"/>
        <v>0.80277981696154554</v>
      </c>
      <c r="DP40" s="62">
        <f t="shared" si="79"/>
        <v>1.0244585492131826</v>
      </c>
      <c r="DQ40" s="7">
        <v>0</v>
      </c>
      <c r="DR40" s="107">
        <f t="shared" si="47"/>
        <v>0</v>
      </c>
    </row>
    <row r="41" spans="1:122" ht="12.75" customHeight="1" x14ac:dyDescent="0.2">
      <c r="A41" s="53" t="s">
        <v>174</v>
      </c>
      <c r="B41" s="54">
        <v>2</v>
      </c>
      <c r="C41" s="92">
        <f t="shared" si="75"/>
        <v>94.384303033381357</v>
      </c>
      <c r="D41" s="92">
        <f t="shared" si="76"/>
        <v>89.524937940384476</v>
      </c>
      <c r="E41" s="92">
        <f>VLOOKUP(A41,[3]TRTOTAL!$A$7:$D$313,3,FALSE)</f>
        <v>94.384303033381357</v>
      </c>
      <c r="F41" s="92">
        <f>VLOOKUP(A41,[3]TRTOTAL!$A$7:$D$313,4,FALSE)</f>
        <v>89.524937940384476</v>
      </c>
      <c r="G41" s="92">
        <f t="shared" si="48"/>
        <v>0</v>
      </c>
      <c r="H41" s="92">
        <f t="shared" si="49"/>
        <v>0</v>
      </c>
      <c r="I41" s="54">
        <v>6.05</v>
      </c>
      <c r="J41" s="56">
        <v>6.05</v>
      </c>
      <c r="K41" s="54">
        <v>3</v>
      </c>
      <c r="L41" s="57">
        <v>2</v>
      </c>
      <c r="M41" s="57"/>
      <c r="N41" s="57">
        <v>141</v>
      </c>
      <c r="O41" s="87"/>
      <c r="P41" s="24">
        <f t="shared" si="54"/>
        <v>19.352499999999999</v>
      </c>
      <c r="Q41" s="24">
        <f t="shared" si="51"/>
        <v>9.66</v>
      </c>
      <c r="R41" s="24">
        <f t="shared" si="77"/>
        <v>5.1276000000000002</v>
      </c>
      <c r="S41" s="87">
        <v>10</v>
      </c>
      <c r="T41" s="21">
        <f t="shared" si="55"/>
        <v>6.6457999999999995</v>
      </c>
      <c r="U41" s="21"/>
      <c r="V41" s="24">
        <f t="shared" si="78"/>
        <v>2.33</v>
      </c>
      <c r="W41" s="24">
        <f t="shared" si="56"/>
        <v>2.5049999999999999</v>
      </c>
      <c r="X41" s="24">
        <f t="shared" si="57"/>
        <v>3.0840514579623188</v>
      </c>
      <c r="Y41" s="25">
        <f t="shared" si="9"/>
        <v>1</v>
      </c>
      <c r="Z41" s="24">
        <f t="shared" si="10"/>
        <v>18.178094782337777</v>
      </c>
      <c r="AA41" s="21">
        <f t="shared" si="58"/>
        <v>2.1070019723865876</v>
      </c>
      <c r="AB41" s="24">
        <f t="shared" si="12"/>
        <v>4.6168537553269422</v>
      </c>
      <c r="AC41" s="24">
        <f t="shared" si="59"/>
        <v>26.459375049472218</v>
      </c>
      <c r="AD41" s="58">
        <f t="shared" si="60"/>
        <v>285</v>
      </c>
      <c r="AE41" s="58">
        <f t="shared" si="61"/>
        <v>291</v>
      </c>
      <c r="AF41" s="21">
        <f t="shared" si="16"/>
        <v>4.2646175000000008</v>
      </c>
      <c r="AG41" s="77">
        <f t="shared" si="17"/>
        <v>0</v>
      </c>
      <c r="AH41" s="114">
        <f t="shared" si="50"/>
        <v>1</v>
      </c>
      <c r="AI41" s="59">
        <f t="shared" si="18"/>
        <v>91.088736992307162</v>
      </c>
      <c r="AJ41" s="59">
        <f t="shared" si="19"/>
        <v>86.399043741629214</v>
      </c>
      <c r="AK41" s="55">
        <v>9.66</v>
      </c>
      <c r="AL41" s="55">
        <v>2.33</v>
      </c>
      <c r="AM41" s="21">
        <f t="shared" ref="AM41:AM47" si="80">AK41*AL41*0.5</f>
        <v>11.2539</v>
      </c>
      <c r="AN41" s="54">
        <v>9.66</v>
      </c>
      <c r="AO41" s="55">
        <v>0.14000000000000001</v>
      </c>
      <c r="AP41" s="21">
        <f t="shared" si="62"/>
        <v>0.90160000000000007</v>
      </c>
      <c r="AQ41" s="55">
        <v>2.37</v>
      </c>
      <c r="AR41" s="55"/>
      <c r="AS41" s="21">
        <f t="shared" si="63"/>
        <v>0</v>
      </c>
      <c r="AT41" s="54">
        <v>9.56</v>
      </c>
      <c r="AU41" s="54">
        <v>0.69</v>
      </c>
      <c r="AV41" s="21">
        <f t="shared" si="64"/>
        <v>3.2982</v>
      </c>
      <c r="AW41" s="54"/>
      <c r="AX41" s="54"/>
      <c r="AY41" s="21">
        <f t="shared" si="65"/>
        <v>0</v>
      </c>
      <c r="AZ41" s="54">
        <v>9.48</v>
      </c>
      <c r="BA41" s="54">
        <v>0.34</v>
      </c>
      <c r="BB41" s="21">
        <f t="shared" si="66"/>
        <v>2.1488</v>
      </c>
      <c r="BC41" s="54"/>
      <c r="BD41" s="54"/>
      <c r="BE41" s="21">
        <f t="shared" si="67"/>
        <v>0</v>
      </c>
      <c r="BF41" s="55"/>
      <c r="BG41" s="55"/>
      <c r="BH41" s="21">
        <f t="shared" si="68"/>
        <v>0</v>
      </c>
      <c r="BI41" s="55"/>
      <c r="BJ41" s="55"/>
      <c r="BK41" s="21">
        <f t="shared" si="69"/>
        <v>0</v>
      </c>
      <c r="BL41" s="55"/>
      <c r="BM41" s="55"/>
      <c r="BN41" s="21">
        <f t="shared" si="52"/>
        <v>0</v>
      </c>
      <c r="BO41" s="55"/>
      <c r="BP41" s="55"/>
      <c r="BQ41" s="21">
        <f t="shared" si="53"/>
        <v>0</v>
      </c>
      <c r="BR41" s="55"/>
      <c r="BS41" s="21">
        <f t="shared" si="70"/>
        <v>17.602499999999999</v>
      </c>
      <c r="BT41" s="56">
        <v>7.07</v>
      </c>
      <c r="BU41" s="56">
        <v>1.56</v>
      </c>
      <c r="BV41" s="21">
        <f t="shared" si="32"/>
        <v>5.5146000000000006</v>
      </c>
      <c r="BW41" s="77">
        <f t="shared" si="33"/>
        <v>7.07</v>
      </c>
      <c r="BX41" s="55">
        <v>-0.03</v>
      </c>
      <c r="BY41" s="21">
        <f t="shared" si="34"/>
        <v>-0.1414</v>
      </c>
      <c r="BZ41" s="55">
        <v>1.62</v>
      </c>
      <c r="CA41" s="55">
        <v>0.01</v>
      </c>
      <c r="CB41" s="21">
        <f t="shared" si="35"/>
        <v>1.0800000000000002E-2</v>
      </c>
      <c r="CC41" s="55">
        <v>6.41</v>
      </c>
      <c r="CD41" s="55">
        <v>-0.06</v>
      </c>
      <c r="CE41" s="21">
        <f t="shared" si="36"/>
        <v>-0.25640000000000002</v>
      </c>
      <c r="CF41" s="21"/>
      <c r="CG41" s="21"/>
      <c r="CH41" s="21">
        <f t="shared" si="37"/>
        <v>0</v>
      </c>
      <c r="CI41" s="25">
        <f t="shared" si="38"/>
        <v>5.1276000000000002</v>
      </c>
      <c r="CJ41" s="54">
        <v>0.35</v>
      </c>
      <c r="CK41" s="21">
        <f t="shared" si="71"/>
        <v>1.75</v>
      </c>
      <c r="CL41" s="55">
        <v>9</v>
      </c>
      <c r="CM41" s="55" t="s">
        <v>175</v>
      </c>
      <c r="CN41" s="60">
        <v>39604</v>
      </c>
      <c r="CO41" s="55" t="s">
        <v>142</v>
      </c>
      <c r="CP41" s="55" t="s">
        <v>138</v>
      </c>
      <c r="CQ41" s="55" t="s">
        <v>138</v>
      </c>
      <c r="CR41" s="55"/>
      <c r="CS41" s="55"/>
      <c r="CT41" s="55"/>
      <c r="CU41" s="55"/>
      <c r="CV41" s="55"/>
      <c r="CW41" s="55"/>
      <c r="CX41" s="55"/>
      <c r="CY41" s="21">
        <f t="shared" si="72"/>
        <v>0</v>
      </c>
      <c r="CZ41" s="56">
        <v>4.67</v>
      </c>
      <c r="DA41" s="56">
        <v>9</v>
      </c>
      <c r="DB41" s="56">
        <v>8.3800000000000008</v>
      </c>
      <c r="DC41" s="56">
        <v>3.74</v>
      </c>
      <c r="DD41" s="61">
        <f t="shared" si="41"/>
        <v>0.80085653104925059</v>
      </c>
      <c r="DE41" s="21">
        <f t="shared" si="42"/>
        <v>28.430783333333338</v>
      </c>
      <c r="DF41" s="55"/>
      <c r="DG41" s="55"/>
      <c r="DH41" s="55"/>
      <c r="DI41" s="55"/>
      <c r="DJ41" s="104"/>
      <c r="DK41" s="53"/>
      <c r="DM41" s="58">
        <f t="shared" si="43"/>
        <v>1108.5724134656746</v>
      </c>
      <c r="DN41" s="58">
        <f t="shared" si="73"/>
        <v>802.5</v>
      </c>
      <c r="DO41" s="21">
        <f t="shared" si="74"/>
        <v>0.72390399603322653</v>
      </c>
      <c r="DP41" s="62">
        <f t="shared" si="79"/>
        <v>1.0361797314343322</v>
      </c>
      <c r="DQ41" s="7">
        <v>0</v>
      </c>
      <c r="DR41" s="107">
        <f t="shared" si="47"/>
        <v>0</v>
      </c>
    </row>
    <row r="42" spans="1:122" ht="12.75" customHeight="1" x14ac:dyDescent="0.2">
      <c r="A42" s="53" t="s">
        <v>176</v>
      </c>
      <c r="B42" s="54">
        <v>2</v>
      </c>
      <c r="C42" s="92">
        <f t="shared" si="75"/>
        <v>100.44903044589604</v>
      </c>
      <c r="D42" s="92">
        <f t="shared" si="76"/>
        <v>93.627256239093299</v>
      </c>
      <c r="E42" s="92">
        <f>VLOOKUP(A42,[3]TRTOTAL!$A$7:$D$313,3,FALSE)</f>
        <v>100.44903044589604</v>
      </c>
      <c r="F42" s="92">
        <f>VLOOKUP(A42,[3]TRTOTAL!$A$7:$D$313,4,FALSE)</f>
        <v>93.627256239093299</v>
      </c>
      <c r="G42" s="92">
        <f t="shared" si="48"/>
        <v>0</v>
      </c>
      <c r="H42" s="92">
        <f t="shared" si="49"/>
        <v>0</v>
      </c>
      <c r="I42" s="54">
        <v>6.09</v>
      </c>
      <c r="J42" s="56">
        <v>6.09</v>
      </c>
      <c r="K42" s="54">
        <v>3</v>
      </c>
      <c r="L42" s="57">
        <v>2</v>
      </c>
      <c r="M42" s="57"/>
      <c r="N42" s="57">
        <v>136</v>
      </c>
      <c r="O42" s="87"/>
      <c r="P42" s="24">
        <f t="shared" si="54"/>
        <v>19.583600000000001</v>
      </c>
      <c r="Q42" s="24">
        <f t="shared" si="51"/>
        <v>9.68</v>
      </c>
      <c r="R42" s="24">
        <f t="shared" si="77"/>
        <v>0</v>
      </c>
      <c r="S42" s="87">
        <v>10</v>
      </c>
      <c r="T42" s="21">
        <f t="shared" si="55"/>
        <v>0</v>
      </c>
      <c r="U42" s="21"/>
      <c r="V42" s="24">
        <f t="shared" si="78"/>
        <v>2.33</v>
      </c>
      <c r="W42" s="24">
        <f t="shared" si="56"/>
        <v>2.5065</v>
      </c>
      <c r="X42" s="24">
        <f t="shared" si="57"/>
        <v>3.1171457700901257</v>
      </c>
      <c r="Y42" s="25">
        <f t="shared" si="9"/>
        <v>1</v>
      </c>
      <c r="Z42" s="24">
        <f t="shared" si="10"/>
        <v>18.454167845130545</v>
      </c>
      <c r="AA42" s="21">
        <f t="shared" si="58"/>
        <v>0</v>
      </c>
      <c r="AB42" s="24">
        <f t="shared" si="12"/>
        <v>0</v>
      </c>
      <c r="AC42" s="24">
        <f t="shared" si="59"/>
        <v>22.383840345130544</v>
      </c>
      <c r="AD42" s="58">
        <f t="shared" si="60"/>
        <v>280</v>
      </c>
      <c r="AE42" s="58">
        <f t="shared" si="61"/>
        <v>286</v>
      </c>
      <c r="AF42" s="21">
        <f t="shared" si="16"/>
        <v>3.9296725000000001</v>
      </c>
      <c r="AG42" s="77">
        <f t="shared" si="17"/>
        <v>0</v>
      </c>
      <c r="AH42" s="114">
        <f t="shared" si="50"/>
        <v>1</v>
      </c>
      <c r="AI42" s="59">
        <f t="shared" si="18"/>
        <v>98.357061539123563</v>
      </c>
      <c r="AJ42" s="59">
        <f t="shared" si="19"/>
        <v>91.677358783546424</v>
      </c>
      <c r="AK42" s="55">
        <v>9.68</v>
      </c>
      <c r="AL42" s="55">
        <v>2.33</v>
      </c>
      <c r="AM42" s="21">
        <f t="shared" si="80"/>
        <v>11.277200000000001</v>
      </c>
      <c r="AN42" s="54">
        <v>9.68</v>
      </c>
      <c r="AO42" s="55">
        <v>0.15</v>
      </c>
      <c r="AP42" s="21">
        <f t="shared" si="62"/>
        <v>0.96799999999999997</v>
      </c>
      <c r="AQ42" s="55">
        <v>2.37</v>
      </c>
      <c r="AR42" s="55">
        <v>0</v>
      </c>
      <c r="AS42" s="21">
        <f t="shared" si="63"/>
        <v>0</v>
      </c>
      <c r="AT42" s="54"/>
      <c r="AU42" s="54"/>
      <c r="AV42" s="21">
        <f t="shared" si="64"/>
        <v>0</v>
      </c>
      <c r="AW42" s="54">
        <v>9.56</v>
      </c>
      <c r="AX42" s="54">
        <v>0.69</v>
      </c>
      <c r="AY42" s="21">
        <f t="shared" si="65"/>
        <v>3.2982</v>
      </c>
      <c r="AZ42" s="54">
        <v>9.48</v>
      </c>
      <c r="BA42" s="54">
        <v>0.36</v>
      </c>
      <c r="BB42" s="21">
        <f t="shared" si="66"/>
        <v>2.2751999999999999</v>
      </c>
      <c r="BC42" s="54"/>
      <c r="BD42" s="54"/>
      <c r="BE42" s="21">
        <f t="shared" si="67"/>
        <v>0</v>
      </c>
      <c r="BF42" s="55"/>
      <c r="BG42" s="55"/>
      <c r="BH42" s="21">
        <f t="shared" si="68"/>
        <v>0</v>
      </c>
      <c r="BI42" s="55"/>
      <c r="BJ42" s="55"/>
      <c r="BK42" s="21">
        <f t="shared" si="69"/>
        <v>0</v>
      </c>
      <c r="BL42" s="55"/>
      <c r="BM42" s="55"/>
      <c r="BN42" s="21">
        <f t="shared" si="52"/>
        <v>0</v>
      </c>
      <c r="BO42" s="55"/>
      <c r="BP42" s="55"/>
      <c r="BQ42" s="21">
        <f t="shared" si="53"/>
        <v>0</v>
      </c>
      <c r="BR42" s="55"/>
      <c r="BS42" s="21">
        <f t="shared" si="70"/>
        <v>17.8186</v>
      </c>
      <c r="BT42" s="56">
        <v>0</v>
      </c>
      <c r="BU42" s="56"/>
      <c r="BV42" s="21">
        <f t="shared" si="32"/>
        <v>0</v>
      </c>
      <c r="BW42" s="77">
        <f t="shared" si="33"/>
        <v>0</v>
      </c>
      <c r="BX42" s="55"/>
      <c r="BY42" s="21">
        <f t="shared" si="34"/>
        <v>0</v>
      </c>
      <c r="BZ42" s="55"/>
      <c r="CA42" s="55"/>
      <c r="CB42" s="21">
        <f t="shared" si="35"/>
        <v>0</v>
      </c>
      <c r="CC42" s="55"/>
      <c r="CD42" s="55"/>
      <c r="CE42" s="21">
        <f t="shared" si="36"/>
        <v>0</v>
      </c>
      <c r="CF42" s="21"/>
      <c r="CG42" s="21"/>
      <c r="CH42" s="21">
        <f t="shared" si="37"/>
        <v>0</v>
      </c>
      <c r="CI42" s="25">
        <f t="shared" si="38"/>
        <v>0</v>
      </c>
      <c r="CJ42" s="54">
        <v>0.35299999999999998</v>
      </c>
      <c r="CK42" s="21">
        <f t="shared" si="71"/>
        <v>1.7649999999999999</v>
      </c>
      <c r="CL42" s="55"/>
      <c r="CM42" s="55" t="s">
        <v>177</v>
      </c>
      <c r="CN42" s="60">
        <v>38475</v>
      </c>
      <c r="CO42" s="55" t="s">
        <v>178</v>
      </c>
      <c r="CP42" s="55">
        <v>169</v>
      </c>
      <c r="CQ42" s="55"/>
      <c r="CR42" s="55">
        <v>569</v>
      </c>
      <c r="CS42" s="55"/>
      <c r="CT42" s="55"/>
      <c r="CU42" s="55"/>
      <c r="CV42" s="55"/>
      <c r="CW42" s="55"/>
      <c r="CX42" s="55"/>
      <c r="CY42" s="21">
        <f t="shared" si="72"/>
        <v>0</v>
      </c>
      <c r="CZ42" s="56">
        <v>4.18</v>
      </c>
      <c r="DA42" s="56">
        <v>9.0399999999999991</v>
      </c>
      <c r="DB42" s="56">
        <v>7.99</v>
      </c>
      <c r="DC42" s="56">
        <v>3.57</v>
      </c>
      <c r="DD42" s="61">
        <f t="shared" si="41"/>
        <v>0.85406698564593309</v>
      </c>
      <c r="DE42" s="21">
        <f t="shared" si="42"/>
        <v>26.197816666666668</v>
      </c>
      <c r="DF42" s="55"/>
      <c r="DG42" s="55"/>
      <c r="DH42" s="55"/>
      <c r="DI42" s="55"/>
      <c r="DJ42" s="104"/>
      <c r="DK42" s="53"/>
      <c r="DM42" s="58">
        <f t="shared" si="43"/>
        <v>962.63110222970874</v>
      </c>
      <c r="DN42" s="58">
        <f t="shared" si="73"/>
        <v>795</v>
      </c>
      <c r="DO42" s="21">
        <f t="shared" si="74"/>
        <v>0.82586153528446082</v>
      </c>
      <c r="DP42" s="62">
        <f t="shared" si="79"/>
        <v>1.0212691277477861</v>
      </c>
      <c r="DQ42" s="7">
        <v>0</v>
      </c>
      <c r="DR42" s="107">
        <f t="shared" si="47"/>
        <v>0</v>
      </c>
    </row>
    <row r="43" spans="1:122" ht="12.75" customHeight="1" x14ac:dyDescent="0.2">
      <c r="A43" s="53" t="s">
        <v>179</v>
      </c>
      <c r="B43" s="54">
        <v>2</v>
      </c>
      <c r="C43" s="92">
        <f t="shared" si="75"/>
        <v>93.91740096972589</v>
      </c>
      <c r="D43" s="92">
        <f t="shared" si="76"/>
        <v>89.131798243600443</v>
      </c>
      <c r="E43" s="92">
        <f>VLOOKUP(A43,[3]TRTOTAL!$A$7:$D$313,3,FALSE)</f>
        <v>93.91740096972589</v>
      </c>
      <c r="F43" s="92">
        <f>VLOOKUP(A43,[3]TRTOTAL!$A$7:$D$313,4,FALSE)</f>
        <v>89.131798243600443</v>
      </c>
      <c r="G43" s="92">
        <f t="shared" si="48"/>
        <v>0</v>
      </c>
      <c r="H43" s="92">
        <f t="shared" si="49"/>
        <v>0</v>
      </c>
      <c r="I43" s="54">
        <v>6.09</v>
      </c>
      <c r="J43" s="56">
        <v>6.09</v>
      </c>
      <c r="K43" s="54">
        <v>3</v>
      </c>
      <c r="L43" s="57">
        <v>2</v>
      </c>
      <c r="M43" s="57"/>
      <c r="N43" s="57">
        <v>139</v>
      </c>
      <c r="O43" s="87"/>
      <c r="P43" s="24">
        <f t="shared" si="54"/>
        <v>19.583600000000001</v>
      </c>
      <c r="Q43" s="24">
        <f t="shared" si="51"/>
        <v>9.68</v>
      </c>
      <c r="R43" s="24">
        <f t="shared" si="77"/>
        <v>5.000233333333334</v>
      </c>
      <c r="S43" s="87">
        <v>10</v>
      </c>
      <c r="T43" s="21">
        <f t="shared" si="55"/>
        <v>6.4201999999999995</v>
      </c>
      <c r="U43" s="21"/>
      <c r="V43" s="24">
        <f t="shared" si="78"/>
        <v>2.33</v>
      </c>
      <c r="W43" s="24">
        <f t="shared" si="56"/>
        <v>2.5065</v>
      </c>
      <c r="X43" s="24">
        <f t="shared" si="57"/>
        <v>3.1171457700901257</v>
      </c>
      <c r="Y43" s="25">
        <f t="shared" si="9"/>
        <v>1</v>
      </c>
      <c r="Z43" s="24">
        <f t="shared" si="10"/>
        <v>18.454167845130545</v>
      </c>
      <c r="AA43" s="21">
        <f t="shared" si="58"/>
        <v>2.0029776211077284</v>
      </c>
      <c r="AB43" s="24">
        <f t="shared" si="12"/>
        <v>4.4343053580394285</v>
      </c>
      <c r="AC43" s="24">
        <f t="shared" si="59"/>
        <v>26.534037256624845</v>
      </c>
      <c r="AD43" s="58">
        <f t="shared" si="60"/>
        <v>283</v>
      </c>
      <c r="AE43" s="58">
        <f t="shared" si="61"/>
        <v>289</v>
      </c>
      <c r="AF43" s="21">
        <f t="shared" si="16"/>
        <v>4.22202375</v>
      </c>
      <c r="AG43" s="77">
        <f t="shared" si="17"/>
        <v>0</v>
      </c>
      <c r="AH43" s="114">
        <f t="shared" si="50"/>
        <v>1</v>
      </c>
      <c r="AI43" s="59">
        <f t="shared" si="18"/>
        <v>90.552581109867987</v>
      </c>
      <c r="AJ43" s="59">
        <f t="shared" si="19"/>
        <v>85.938434268679643</v>
      </c>
      <c r="AK43" s="55">
        <v>9.68</v>
      </c>
      <c r="AL43" s="55">
        <v>2.33</v>
      </c>
      <c r="AM43" s="21">
        <f t="shared" si="80"/>
        <v>11.277200000000001</v>
      </c>
      <c r="AN43" s="54">
        <v>9.68</v>
      </c>
      <c r="AO43" s="55">
        <v>0.15</v>
      </c>
      <c r="AP43" s="21">
        <f t="shared" si="62"/>
        <v>0.96799999999999997</v>
      </c>
      <c r="AQ43" s="55">
        <v>2.37</v>
      </c>
      <c r="AR43" s="55">
        <v>0</v>
      </c>
      <c r="AS43" s="21">
        <f t="shared" si="63"/>
        <v>0</v>
      </c>
      <c r="AT43" s="54"/>
      <c r="AU43" s="54"/>
      <c r="AV43" s="21">
        <f t="shared" si="64"/>
        <v>0</v>
      </c>
      <c r="AW43" s="54">
        <v>9.56</v>
      </c>
      <c r="AX43" s="54">
        <v>0.69</v>
      </c>
      <c r="AY43" s="21">
        <f t="shared" si="65"/>
        <v>3.2982</v>
      </c>
      <c r="AZ43" s="54">
        <v>9.48</v>
      </c>
      <c r="BA43" s="54">
        <v>0.36</v>
      </c>
      <c r="BB43" s="21">
        <f t="shared" si="66"/>
        <v>2.2751999999999999</v>
      </c>
      <c r="BC43" s="54"/>
      <c r="BD43" s="54"/>
      <c r="BE43" s="21">
        <f t="shared" si="67"/>
        <v>0</v>
      </c>
      <c r="BF43" s="55"/>
      <c r="BG43" s="55"/>
      <c r="BH43" s="21">
        <f t="shared" si="68"/>
        <v>0</v>
      </c>
      <c r="BI43" s="55"/>
      <c r="BJ43" s="55"/>
      <c r="BK43" s="21">
        <f t="shared" si="69"/>
        <v>0</v>
      </c>
      <c r="BL43" s="55"/>
      <c r="BM43" s="55"/>
      <c r="BN43" s="21">
        <f t="shared" si="52"/>
        <v>0</v>
      </c>
      <c r="BO43" s="55"/>
      <c r="BP43" s="55"/>
      <c r="BQ43" s="21">
        <f t="shared" si="53"/>
        <v>0</v>
      </c>
      <c r="BR43" s="55"/>
      <c r="BS43" s="21">
        <f t="shared" si="70"/>
        <v>17.8186</v>
      </c>
      <c r="BT43" s="56">
        <v>6.83</v>
      </c>
      <c r="BU43" s="56">
        <v>1.58</v>
      </c>
      <c r="BV43" s="21">
        <f t="shared" si="32"/>
        <v>5.3957000000000006</v>
      </c>
      <c r="BW43" s="77">
        <f t="shared" si="33"/>
        <v>6.83</v>
      </c>
      <c r="BX43" s="55">
        <v>-0.04</v>
      </c>
      <c r="BY43" s="21">
        <f t="shared" si="34"/>
        <v>-0.18213333333333334</v>
      </c>
      <c r="BZ43" s="55">
        <v>6.4</v>
      </c>
      <c r="CA43" s="55">
        <v>-0.05</v>
      </c>
      <c r="CB43" s="21">
        <f t="shared" si="35"/>
        <v>-0.21333333333333337</v>
      </c>
      <c r="CC43" s="55">
        <v>1.63</v>
      </c>
      <c r="CD43" s="55"/>
      <c r="CE43" s="21">
        <f t="shared" si="36"/>
        <v>0</v>
      </c>
      <c r="CF43" s="21"/>
      <c r="CG43" s="21"/>
      <c r="CH43" s="21">
        <f t="shared" si="37"/>
        <v>0</v>
      </c>
      <c r="CI43" s="25">
        <f t="shared" si="38"/>
        <v>5.000233333333334</v>
      </c>
      <c r="CJ43" s="54">
        <v>0.35299999999999998</v>
      </c>
      <c r="CK43" s="21">
        <f t="shared" si="71"/>
        <v>1.7649999999999999</v>
      </c>
      <c r="CL43" s="55"/>
      <c r="CM43" s="55" t="s">
        <v>177</v>
      </c>
      <c r="CN43" s="60">
        <v>38475</v>
      </c>
      <c r="CO43" s="55" t="s">
        <v>178</v>
      </c>
      <c r="CP43" s="55">
        <v>169</v>
      </c>
      <c r="CQ43" s="55">
        <v>269</v>
      </c>
      <c r="CR43" s="55">
        <v>469</v>
      </c>
      <c r="CS43" s="55"/>
      <c r="CT43" s="55"/>
      <c r="CU43" s="55"/>
      <c r="CV43" s="55"/>
      <c r="CW43" s="55"/>
      <c r="CX43" s="55"/>
      <c r="CY43" s="21">
        <f t="shared" si="72"/>
        <v>0</v>
      </c>
      <c r="CZ43" s="56">
        <v>4.17</v>
      </c>
      <c r="DA43" s="56">
        <v>9.84</v>
      </c>
      <c r="DB43" s="56">
        <v>8.7899999999999991</v>
      </c>
      <c r="DC43" s="56">
        <v>3.49</v>
      </c>
      <c r="DD43" s="61">
        <f t="shared" si="41"/>
        <v>0.83693045563549162</v>
      </c>
      <c r="DE43" s="21">
        <f t="shared" si="42"/>
        <v>28.146825</v>
      </c>
      <c r="DF43" s="55"/>
      <c r="DG43" s="55"/>
      <c r="DH43" s="55"/>
      <c r="DI43" s="55"/>
      <c r="DJ43" s="104"/>
      <c r="DK43" s="53"/>
      <c r="DM43" s="58">
        <f t="shared" si="43"/>
        <v>1113.9508479427166</v>
      </c>
      <c r="DN43" s="58">
        <f t="shared" si="73"/>
        <v>799.5</v>
      </c>
      <c r="DO43" s="21">
        <f t="shared" si="74"/>
        <v>0.71771568869178082</v>
      </c>
      <c r="DP43" s="62">
        <f t="shared" si="79"/>
        <v>1.0371587404645632</v>
      </c>
      <c r="DQ43" s="7">
        <v>0</v>
      </c>
      <c r="DR43" s="107">
        <f t="shared" si="47"/>
        <v>0</v>
      </c>
    </row>
    <row r="44" spans="1:122" ht="12.75" customHeight="1" x14ac:dyDescent="0.2">
      <c r="A44" s="53" t="s">
        <v>180</v>
      </c>
      <c r="B44" s="54">
        <v>2</v>
      </c>
      <c r="C44" s="92">
        <f t="shared" si="75"/>
        <v>93.91740096972589</v>
      </c>
      <c r="D44" s="92">
        <f t="shared" si="76"/>
        <v>89.527675484296921</v>
      </c>
      <c r="E44" s="92">
        <f>VLOOKUP(A44,[3]TRTOTAL!$A$7:$D$313,3,FALSE)</f>
        <v>93.91740096972589</v>
      </c>
      <c r="F44" s="92">
        <f>VLOOKUP(A44,[3]TRTOTAL!$A$7:$D$313,4,FALSE)</f>
        <v>89.527675484296921</v>
      </c>
      <c r="G44" s="92">
        <f t="shared" si="48"/>
        <v>0</v>
      </c>
      <c r="H44" s="92">
        <f t="shared" si="49"/>
        <v>0</v>
      </c>
      <c r="I44" s="54">
        <v>6.09</v>
      </c>
      <c r="J44" s="56">
        <v>6.09</v>
      </c>
      <c r="K44" s="54">
        <v>3</v>
      </c>
      <c r="L44" s="57">
        <v>2</v>
      </c>
      <c r="M44" s="57"/>
      <c r="N44" s="57">
        <v>139</v>
      </c>
      <c r="O44" s="87"/>
      <c r="P44" s="24">
        <f t="shared" si="54"/>
        <v>19.583600000000001</v>
      </c>
      <c r="Q44" s="24">
        <f t="shared" si="51"/>
        <v>9.68</v>
      </c>
      <c r="R44" s="24">
        <f t="shared" si="77"/>
        <v>5.000233333333334</v>
      </c>
      <c r="S44" s="87">
        <v>10</v>
      </c>
      <c r="T44" s="21">
        <f t="shared" si="55"/>
        <v>6.4201999999999995</v>
      </c>
      <c r="U44" s="21"/>
      <c r="V44" s="24">
        <f t="shared" si="78"/>
        <v>2.33</v>
      </c>
      <c r="W44" s="24">
        <f t="shared" si="56"/>
        <v>2.5065</v>
      </c>
      <c r="X44" s="24">
        <f t="shared" si="57"/>
        <v>3.1171457700901257</v>
      </c>
      <c r="Y44" s="25">
        <f t="shared" si="9"/>
        <v>1</v>
      </c>
      <c r="Z44" s="24">
        <f t="shared" si="10"/>
        <v>18.454167845130545</v>
      </c>
      <c r="AA44" s="21">
        <f t="shared" si="58"/>
        <v>2.0029776211077284</v>
      </c>
      <c r="AB44" s="24">
        <f t="shared" si="12"/>
        <v>4.4343053580394285</v>
      </c>
      <c r="AC44" s="24">
        <f t="shared" si="59"/>
        <v>26.241686006624846</v>
      </c>
      <c r="AD44" s="58">
        <f t="shared" si="60"/>
        <v>283</v>
      </c>
      <c r="AE44" s="58">
        <f t="shared" si="61"/>
        <v>289</v>
      </c>
      <c r="AF44" s="21">
        <f t="shared" si="16"/>
        <v>3.9296725000000001</v>
      </c>
      <c r="AG44" s="77">
        <f t="shared" si="17"/>
        <v>0</v>
      </c>
      <c r="AH44" s="114">
        <f t="shared" si="50"/>
        <v>1</v>
      </c>
      <c r="AI44" s="59">
        <f t="shared" si="18"/>
        <v>90.552581109867987</v>
      </c>
      <c r="AJ44" s="59">
        <f t="shared" si="19"/>
        <v>86.320128242081594</v>
      </c>
      <c r="AK44" s="55">
        <v>9.68</v>
      </c>
      <c r="AL44" s="55">
        <v>2.33</v>
      </c>
      <c r="AM44" s="21">
        <f t="shared" si="80"/>
        <v>11.277200000000001</v>
      </c>
      <c r="AN44" s="54">
        <v>9.68</v>
      </c>
      <c r="AO44" s="55">
        <v>0.15</v>
      </c>
      <c r="AP44" s="21">
        <f t="shared" si="62"/>
        <v>0.96799999999999997</v>
      </c>
      <c r="AQ44" s="55">
        <v>2.37</v>
      </c>
      <c r="AR44" s="55">
        <v>0</v>
      </c>
      <c r="AS44" s="21">
        <f t="shared" si="63"/>
        <v>0</v>
      </c>
      <c r="AT44" s="54"/>
      <c r="AU44" s="54"/>
      <c r="AV44" s="21">
        <f t="shared" si="64"/>
        <v>0</v>
      </c>
      <c r="AW44" s="54">
        <v>9.56</v>
      </c>
      <c r="AX44" s="54">
        <v>0.69</v>
      </c>
      <c r="AY44" s="21">
        <f t="shared" si="65"/>
        <v>3.2982</v>
      </c>
      <c r="AZ44" s="54">
        <v>9.48</v>
      </c>
      <c r="BA44" s="54">
        <v>0.36</v>
      </c>
      <c r="BB44" s="21">
        <f t="shared" si="66"/>
        <v>2.2751999999999999</v>
      </c>
      <c r="BC44" s="54"/>
      <c r="BD44" s="54"/>
      <c r="BE44" s="21">
        <f t="shared" si="67"/>
        <v>0</v>
      </c>
      <c r="BF44" s="55"/>
      <c r="BG44" s="55"/>
      <c r="BH44" s="21">
        <f t="shared" si="68"/>
        <v>0</v>
      </c>
      <c r="BI44" s="55"/>
      <c r="BJ44" s="55"/>
      <c r="BK44" s="21">
        <f t="shared" si="69"/>
        <v>0</v>
      </c>
      <c r="BL44" s="55"/>
      <c r="BM44" s="55"/>
      <c r="BN44" s="21">
        <f t="shared" si="52"/>
        <v>0</v>
      </c>
      <c r="BO44" s="55"/>
      <c r="BP44" s="55"/>
      <c r="BQ44" s="21">
        <f t="shared" si="53"/>
        <v>0</v>
      </c>
      <c r="BR44" s="55"/>
      <c r="BS44" s="21">
        <f t="shared" si="70"/>
        <v>17.8186</v>
      </c>
      <c r="BT44" s="56">
        <v>6.83</v>
      </c>
      <c r="BU44" s="56">
        <v>1.58</v>
      </c>
      <c r="BV44" s="21">
        <f t="shared" si="32"/>
        <v>5.3957000000000006</v>
      </c>
      <c r="BW44" s="77">
        <f t="shared" si="33"/>
        <v>6.83</v>
      </c>
      <c r="BX44" s="55">
        <v>-0.04</v>
      </c>
      <c r="BY44" s="21">
        <f t="shared" si="34"/>
        <v>-0.18213333333333334</v>
      </c>
      <c r="BZ44" s="55">
        <v>6.4</v>
      </c>
      <c r="CA44" s="55">
        <v>-0.05</v>
      </c>
      <c r="CB44" s="21">
        <f t="shared" si="35"/>
        <v>-0.21333333333333337</v>
      </c>
      <c r="CC44" s="54">
        <v>1.63</v>
      </c>
      <c r="CD44" s="54"/>
      <c r="CE44" s="21">
        <f t="shared" si="36"/>
        <v>0</v>
      </c>
      <c r="CF44" s="21"/>
      <c r="CG44" s="21"/>
      <c r="CH44" s="21">
        <f t="shared" si="37"/>
        <v>0</v>
      </c>
      <c r="CI44" s="25">
        <f t="shared" si="38"/>
        <v>5.000233333333334</v>
      </c>
      <c r="CJ44" s="54">
        <v>0.35299999999999998</v>
      </c>
      <c r="CK44" s="21">
        <f t="shared" si="71"/>
        <v>1.7649999999999999</v>
      </c>
      <c r="CL44" s="55"/>
      <c r="CM44" s="55" t="s">
        <v>177</v>
      </c>
      <c r="CN44" s="60">
        <v>38475</v>
      </c>
      <c r="CO44" s="55" t="s">
        <v>178</v>
      </c>
      <c r="CP44" s="55">
        <v>169</v>
      </c>
      <c r="CQ44" s="55">
        <v>269</v>
      </c>
      <c r="CR44" s="55">
        <v>369</v>
      </c>
      <c r="CS44" s="55"/>
      <c r="CT44" s="55"/>
      <c r="CU44" s="55"/>
      <c r="CV44" s="55"/>
      <c r="CW44" s="55"/>
      <c r="CX44" s="55"/>
      <c r="CY44" s="21">
        <f t="shared" si="72"/>
        <v>0</v>
      </c>
      <c r="CZ44" s="56">
        <v>4.18</v>
      </c>
      <c r="DA44" s="56">
        <v>9.0399999999999991</v>
      </c>
      <c r="DB44" s="56">
        <v>7.99</v>
      </c>
      <c r="DC44" s="56">
        <v>3.57</v>
      </c>
      <c r="DD44" s="61">
        <f t="shared" si="41"/>
        <v>0.85406698564593309</v>
      </c>
      <c r="DE44" s="21">
        <f t="shared" si="42"/>
        <v>26.197816666666668</v>
      </c>
      <c r="DF44" s="55"/>
      <c r="DG44" s="55"/>
      <c r="DH44" s="55"/>
      <c r="DI44" s="55"/>
      <c r="DJ44" s="104"/>
      <c r="DK44" s="53"/>
      <c r="DM44" s="58">
        <f t="shared" si="43"/>
        <v>1113.9508479427166</v>
      </c>
      <c r="DN44" s="58">
        <f t="shared" si="73"/>
        <v>799.5</v>
      </c>
      <c r="DO44" s="21">
        <f t="shared" si="74"/>
        <v>0.71771568869178082</v>
      </c>
      <c r="DP44" s="62">
        <f t="shared" si="79"/>
        <v>1.0371587404645632</v>
      </c>
      <c r="DQ44" s="7">
        <v>0</v>
      </c>
      <c r="DR44" s="107">
        <f t="shared" si="47"/>
        <v>0</v>
      </c>
    </row>
    <row r="45" spans="1:122" ht="12.75" customHeight="1" x14ac:dyDescent="0.2">
      <c r="A45" s="53" t="s">
        <v>181</v>
      </c>
      <c r="B45" s="54">
        <v>2</v>
      </c>
      <c r="C45" s="92">
        <f t="shared" si="75"/>
        <v>95.595021335014948</v>
      </c>
      <c r="D45" s="92">
        <f t="shared" si="76"/>
        <v>90.839127155296154</v>
      </c>
      <c r="E45" s="92">
        <f>VLOOKUP(A45,[3]TRTOTAL!$A$7:$D$313,3,FALSE)</f>
        <v>95.595021335014948</v>
      </c>
      <c r="F45" s="92">
        <f>VLOOKUP(A45,[3]TRTOTAL!$A$7:$D$313,4,FALSE)</f>
        <v>90.839127155296154</v>
      </c>
      <c r="G45" s="92">
        <f t="shared" si="48"/>
        <v>0</v>
      </c>
      <c r="H45" s="92">
        <f t="shared" si="49"/>
        <v>0</v>
      </c>
      <c r="I45" s="54">
        <v>6.09</v>
      </c>
      <c r="J45" s="56">
        <v>6.09</v>
      </c>
      <c r="K45" s="54">
        <v>3</v>
      </c>
      <c r="L45" s="57">
        <v>2</v>
      </c>
      <c r="M45" s="57"/>
      <c r="N45" s="57">
        <v>141</v>
      </c>
      <c r="O45" s="87"/>
      <c r="P45" s="24">
        <f t="shared" si="54"/>
        <v>17.745233333333335</v>
      </c>
      <c r="Q45" s="24">
        <f t="shared" si="51"/>
        <v>8.81</v>
      </c>
      <c r="R45" s="24">
        <f t="shared" si="77"/>
        <v>5.5266999999999999</v>
      </c>
      <c r="S45" s="87">
        <v>9.3000000000000007</v>
      </c>
      <c r="T45" s="21">
        <f t="shared" si="55"/>
        <v>6.0253999999999994</v>
      </c>
      <c r="U45" s="21"/>
      <c r="V45" s="24">
        <f t="shared" si="78"/>
        <v>2.33</v>
      </c>
      <c r="W45" s="24">
        <f t="shared" si="56"/>
        <v>2.4965000000000002</v>
      </c>
      <c r="X45" s="24">
        <f t="shared" si="57"/>
        <v>2.8472039238002833</v>
      </c>
      <c r="Y45" s="25">
        <f t="shared" si="9"/>
        <v>1</v>
      </c>
      <c r="Z45" s="24">
        <f t="shared" si="10"/>
        <v>16.273541997270708</v>
      </c>
      <c r="AA45" s="21">
        <f t="shared" si="58"/>
        <v>2.0056249092756571</v>
      </c>
      <c r="AB45" s="24">
        <f t="shared" si="12"/>
        <v>4.9031287987797061</v>
      </c>
      <c r="AC45" s="24">
        <f t="shared" si="59"/>
        <v>24.468936552209055</v>
      </c>
      <c r="AD45" s="58">
        <f t="shared" si="60"/>
        <v>285</v>
      </c>
      <c r="AE45" s="58">
        <f t="shared" si="61"/>
        <v>291</v>
      </c>
      <c r="AF45" s="21">
        <f t="shared" si="16"/>
        <v>3.9296725000000001</v>
      </c>
      <c r="AG45" s="77">
        <f t="shared" si="17"/>
        <v>0</v>
      </c>
      <c r="AH45" s="114">
        <f t="shared" si="50"/>
        <v>1</v>
      </c>
      <c r="AI45" s="59">
        <f t="shared" si="18"/>
        <v>93.626432867011957</v>
      </c>
      <c r="AJ45" s="59">
        <f t="shared" si="19"/>
        <v>88.968476825770324</v>
      </c>
      <c r="AK45" s="55">
        <v>8.81</v>
      </c>
      <c r="AL45" s="55">
        <v>2.33</v>
      </c>
      <c r="AM45" s="21">
        <f t="shared" si="80"/>
        <v>10.26365</v>
      </c>
      <c r="AN45" s="54">
        <v>8.81</v>
      </c>
      <c r="AO45" s="55">
        <v>0.13</v>
      </c>
      <c r="AP45" s="21">
        <f t="shared" si="62"/>
        <v>0.76353333333333351</v>
      </c>
      <c r="AQ45" s="55">
        <v>2.38</v>
      </c>
      <c r="AR45" s="55">
        <v>0</v>
      </c>
      <c r="AS45" s="21">
        <f t="shared" si="63"/>
        <v>0</v>
      </c>
      <c r="AT45" s="54"/>
      <c r="AU45" s="54"/>
      <c r="AV45" s="21">
        <f t="shared" si="64"/>
        <v>0</v>
      </c>
      <c r="AW45" s="54">
        <v>8.64</v>
      </c>
      <c r="AX45" s="54">
        <v>0.73</v>
      </c>
      <c r="AY45" s="21">
        <f t="shared" si="65"/>
        <v>3.1536</v>
      </c>
      <c r="AZ45" s="54">
        <v>8.4</v>
      </c>
      <c r="BA45" s="54">
        <v>0.36</v>
      </c>
      <c r="BB45" s="21">
        <f t="shared" si="66"/>
        <v>2.016</v>
      </c>
      <c r="BC45" s="54"/>
      <c r="BD45" s="54"/>
      <c r="BE45" s="21">
        <f t="shared" si="67"/>
        <v>0</v>
      </c>
      <c r="BF45" s="55"/>
      <c r="BG45" s="55"/>
      <c r="BH45" s="21">
        <f t="shared" si="68"/>
        <v>0</v>
      </c>
      <c r="BI45" s="55"/>
      <c r="BJ45" s="55"/>
      <c r="BK45" s="21">
        <f t="shared" si="69"/>
        <v>0</v>
      </c>
      <c r="BL45" s="55"/>
      <c r="BM45" s="55"/>
      <c r="BN45" s="21">
        <f t="shared" si="52"/>
        <v>0</v>
      </c>
      <c r="BO45" s="55"/>
      <c r="BP45" s="55"/>
      <c r="BQ45" s="21">
        <f t="shared" si="53"/>
        <v>0</v>
      </c>
      <c r="BR45" s="55"/>
      <c r="BS45" s="21">
        <f t="shared" si="70"/>
        <v>16.196783333333336</v>
      </c>
      <c r="BT45" s="56">
        <v>6.41</v>
      </c>
      <c r="BU45" s="56">
        <v>1.66</v>
      </c>
      <c r="BV45" s="21">
        <f t="shared" si="32"/>
        <v>5.3202999999999996</v>
      </c>
      <c r="BW45" s="77">
        <f t="shared" si="33"/>
        <v>6.41</v>
      </c>
      <c r="BX45" s="55">
        <v>0</v>
      </c>
      <c r="BY45" s="21">
        <f t="shared" si="34"/>
        <v>0</v>
      </c>
      <c r="BZ45" s="55">
        <v>6.06</v>
      </c>
      <c r="CA45" s="55">
        <v>0.04</v>
      </c>
      <c r="CB45" s="21">
        <f t="shared" si="35"/>
        <v>0.16159999999999999</v>
      </c>
      <c r="CC45" s="54">
        <v>1.68</v>
      </c>
      <c r="CD45" s="54">
        <v>0.04</v>
      </c>
      <c r="CE45" s="21">
        <f t="shared" si="36"/>
        <v>4.48E-2</v>
      </c>
      <c r="CF45" s="21"/>
      <c r="CG45" s="21"/>
      <c r="CH45" s="21">
        <f t="shared" si="37"/>
        <v>0</v>
      </c>
      <c r="CI45" s="25">
        <f t="shared" si="38"/>
        <v>5.5266999999999999</v>
      </c>
      <c r="CJ45" s="54">
        <v>0.33300000000000002</v>
      </c>
      <c r="CK45" s="21">
        <f t="shared" si="71"/>
        <v>1.5484500000000001</v>
      </c>
      <c r="CL45" s="55"/>
      <c r="CM45" s="55" t="s">
        <v>177</v>
      </c>
      <c r="CN45" s="60">
        <v>38475</v>
      </c>
      <c r="CO45" s="55" t="s">
        <v>178</v>
      </c>
      <c r="CP45" s="55">
        <v>869</v>
      </c>
      <c r="CQ45" s="55">
        <v>696</v>
      </c>
      <c r="CR45" s="55">
        <v>569</v>
      </c>
      <c r="CS45" s="55"/>
      <c r="CT45" s="55"/>
      <c r="CU45" s="55"/>
      <c r="CV45" s="55"/>
      <c r="CW45" s="55"/>
      <c r="CX45" s="55"/>
      <c r="CY45" s="21">
        <f t="shared" si="72"/>
        <v>0</v>
      </c>
      <c r="CZ45" s="56">
        <v>4.18</v>
      </c>
      <c r="DA45" s="56">
        <v>9.0399999999999991</v>
      </c>
      <c r="DB45" s="56">
        <v>7.99</v>
      </c>
      <c r="DC45" s="56">
        <v>3.57</v>
      </c>
      <c r="DD45" s="61">
        <f t="shared" si="41"/>
        <v>0.85406698564593309</v>
      </c>
      <c r="DE45" s="21">
        <f t="shared" si="42"/>
        <v>26.197816666666668</v>
      </c>
      <c r="DF45" s="55"/>
      <c r="DG45" s="55"/>
      <c r="DH45" s="55"/>
      <c r="DI45" s="55"/>
      <c r="DJ45" s="104"/>
      <c r="DK45" s="53"/>
      <c r="DM45" s="58">
        <f t="shared" si="43"/>
        <v>969.61146726788013</v>
      </c>
      <c r="DN45" s="58">
        <f t="shared" si="73"/>
        <v>802.5</v>
      </c>
      <c r="DO45" s="21">
        <f t="shared" si="74"/>
        <v>0.82765110262282893</v>
      </c>
      <c r="DP45" s="62">
        <f t="shared" si="79"/>
        <v>1.021025990286303</v>
      </c>
      <c r="DQ45" s="7">
        <v>0</v>
      </c>
      <c r="DR45" s="107">
        <f t="shared" si="47"/>
        <v>0</v>
      </c>
    </row>
    <row r="46" spans="1:122" ht="12.75" customHeight="1" x14ac:dyDescent="0.2">
      <c r="A46" s="53" t="s">
        <v>182</v>
      </c>
      <c r="B46" s="54">
        <v>2</v>
      </c>
      <c r="C46" s="92">
        <f t="shared" si="75"/>
        <v>96.356628496336796</v>
      </c>
      <c r="D46" s="92">
        <f t="shared" si="76"/>
        <v>91.358785181048844</v>
      </c>
      <c r="E46" s="92">
        <f>VLOOKUP(A46,[3]TRTOTAL!$A$7:$D$313,3,FALSE)</f>
        <v>96.356628496336796</v>
      </c>
      <c r="F46" s="92">
        <f>VLOOKUP(A46,[3]TRTOTAL!$A$7:$D$313,4,FALSE)</f>
        <v>91.358785181048844</v>
      </c>
      <c r="G46" s="92">
        <f t="shared" si="48"/>
        <v>0</v>
      </c>
      <c r="H46" s="92">
        <f t="shared" si="49"/>
        <v>0</v>
      </c>
      <c r="I46" s="54">
        <v>6.09</v>
      </c>
      <c r="J46" s="56">
        <v>6.09</v>
      </c>
      <c r="K46" s="54">
        <v>3</v>
      </c>
      <c r="L46" s="57">
        <v>2</v>
      </c>
      <c r="M46" s="57"/>
      <c r="N46" s="57">
        <v>141</v>
      </c>
      <c r="O46" s="87"/>
      <c r="P46" s="24">
        <f t="shared" si="54"/>
        <v>17.745233333333335</v>
      </c>
      <c r="Q46" s="24">
        <f t="shared" si="51"/>
        <v>8.81</v>
      </c>
      <c r="R46" s="24">
        <f t="shared" si="77"/>
        <v>5.000233333333334</v>
      </c>
      <c r="S46" s="87">
        <v>9.3000000000000007</v>
      </c>
      <c r="T46" s="21">
        <f t="shared" si="55"/>
        <v>6.4201999999999995</v>
      </c>
      <c r="U46" s="21"/>
      <c r="V46" s="24">
        <f t="shared" si="78"/>
        <v>2.33</v>
      </c>
      <c r="W46" s="24">
        <f t="shared" si="56"/>
        <v>2.4965000000000002</v>
      </c>
      <c r="X46" s="24">
        <f t="shared" si="57"/>
        <v>2.8472039238002833</v>
      </c>
      <c r="Y46" s="25">
        <f t="shared" si="9"/>
        <v>1</v>
      </c>
      <c r="Z46" s="24">
        <f t="shared" si="10"/>
        <v>16.273541997270708</v>
      </c>
      <c r="AA46" s="21">
        <f t="shared" si="58"/>
        <v>2.0029776211077284</v>
      </c>
      <c r="AB46" s="24">
        <f t="shared" si="12"/>
        <v>4.4343053580394285</v>
      </c>
      <c r="AC46" s="24">
        <f t="shared" si="59"/>
        <v>24.061060158765009</v>
      </c>
      <c r="AD46" s="58">
        <f t="shared" si="60"/>
        <v>285</v>
      </c>
      <c r="AE46" s="58">
        <f t="shared" si="61"/>
        <v>291</v>
      </c>
      <c r="AF46" s="21">
        <f t="shared" si="16"/>
        <v>3.9296725000000001</v>
      </c>
      <c r="AG46" s="77">
        <f t="shared" si="17"/>
        <v>0</v>
      </c>
      <c r="AH46" s="114">
        <f t="shared" si="50"/>
        <v>1</v>
      </c>
      <c r="AI46" s="59">
        <f t="shared" si="18"/>
        <v>94.468619596872486</v>
      </c>
      <c r="AJ46" s="59">
        <f t="shared" si="19"/>
        <v>89.56870387416059</v>
      </c>
      <c r="AK46" s="55">
        <v>8.81</v>
      </c>
      <c r="AL46" s="55">
        <v>2.33</v>
      </c>
      <c r="AM46" s="21">
        <f t="shared" si="80"/>
        <v>10.26365</v>
      </c>
      <c r="AN46" s="54">
        <v>8.81</v>
      </c>
      <c r="AO46" s="55">
        <v>0.13</v>
      </c>
      <c r="AP46" s="21">
        <f t="shared" si="62"/>
        <v>0.76353333333333351</v>
      </c>
      <c r="AQ46" s="55">
        <v>2.38</v>
      </c>
      <c r="AR46" s="55">
        <v>0</v>
      </c>
      <c r="AS46" s="21">
        <f t="shared" si="63"/>
        <v>0</v>
      </c>
      <c r="AT46" s="54"/>
      <c r="AU46" s="54"/>
      <c r="AV46" s="21">
        <f t="shared" si="64"/>
        <v>0</v>
      </c>
      <c r="AW46" s="54">
        <v>8.64</v>
      </c>
      <c r="AX46" s="54">
        <v>0.73</v>
      </c>
      <c r="AY46" s="21">
        <f t="shared" si="65"/>
        <v>3.1536</v>
      </c>
      <c r="AZ46" s="54">
        <v>8.4</v>
      </c>
      <c r="BA46" s="54">
        <v>0.36</v>
      </c>
      <c r="BB46" s="21">
        <f t="shared" si="66"/>
        <v>2.016</v>
      </c>
      <c r="BC46" s="54"/>
      <c r="BD46" s="54"/>
      <c r="BE46" s="21">
        <f t="shared" si="67"/>
        <v>0</v>
      </c>
      <c r="BF46" s="55"/>
      <c r="BG46" s="55"/>
      <c r="BH46" s="21">
        <f t="shared" si="68"/>
        <v>0</v>
      </c>
      <c r="BI46" s="55"/>
      <c r="BJ46" s="55"/>
      <c r="BK46" s="21">
        <f t="shared" si="69"/>
        <v>0</v>
      </c>
      <c r="BL46" s="55"/>
      <c r="BM46" s="55"/>
      <c r="BN46" s="21">
        <f t="shared" si="52"/>
        <v>0</v>
      </c>
      <c r="BO46" s="55"/>
      <c r="BP46" s="55"/>
      <c r="BQ46" s="21">
        <f t="shared" si="53"/>
        <v>0</v>
      </c>
      <c r="BR46" s="55"/>
      <c r="BS46" s="21">
        <f t="shared" si="70"/>
        <v>16.196783333333336</v>
      </c>
      <c r="BT46" s="56">
        <v>6.83</v>
      </c>
      <c r="BU46" s="56">
        <v>1.58</v>
      </c>
      <c r="BV46" s="21">
        <f t="shared" si="32"/>
        <v>5.3957000000000006</v>
      </c>
      <c r="BW46" s="77">
        <f t="shared" si="33"/>
        <v>6.83</v>
      </c>
      <c r="BX46" s="55">
        <v>-0.04</v>
      </c>
      <c r="BY46" s="21">
        <f t="shared" si="34"/>
        <v>-0.18213333333333334</v>
      </c>
      <c r="BZ46" s="55">
        <v>6.4</v>
      </c>
      <c r="CA46" s="55">
        <v>-0.05</v>
      </c>
      <c r="CB46" s="21">
        <f t="shared" si="35"/>
        <v>-0.21333333333333337</v>
      </c>
      <c r="CC46" s="55">
        <v>1.63</v>
      </c>
      <c r="CD46" s="55">
        <v>0</v>
      </c>
      <c r="CE46" s="21">
        <f t="shared" si="36"/>
        <v>0</v>
      </c>
      <c r="CF46" s="21"/>
      <c r="CG46" s="21"/>
      <c r="CH46" s="21">
        <f t="shared" si="37"/>
        <v>0</v>
      </c>
      <c r="CI46" s="25">
        <f t="shared" si="38"/>
        <v>5.000233333333334</v>
      </c>
      <c r="CJ46" s="54">
        <v>0.33300000000000002</v>
      </c>
      <c r="CK46" s="21">
        <f t="shared" si="71"/>
        <v>1.5484500000000001</v>
      </c>
      <c r="CL46" s="55"/>
      <c r="CM46" s="55" t="s">
        <v>177</v>
      </c>
      <c r="CN46" s="60">
        <v>38475</v>
      </c>
      <c r="CO46" s="55" t="s">
        <v>178</v>
      </c>
      <c r="CP46" s="55">
        <v>769</v>
      </c>
      <c r="CQ46" s="55">
        <v>696</v>
      </c>
      <c r="CR46" s="55">
        <v>369</v>
      </c>
      <c r="CS46" s="55"/>
      <c r="CT46" s="55"/>
      <c r="CU46" s="55"/>
      <c r="CV46" s="55"/>
      <c r="CW46" s="55"/>
      <c r="CX46" s="55"/>
      <c r="CY46" s="21">
        <f t="shared" si="72"/>
        <v>0</v>
      </c>
      <c r="CZ46" s="56">
        <v>4.18</v>
      </c>
      <c r="DA46" s="56">
        <v>9.0399999999999991</v>
      </c>
      <c r="DB46" s="56">
        <v>7.99</v>
      </c>
      <c r="DC46" s="56">
        <v>3.57</v>
      </c>
      <c r="DD46" s="61">
        <f t="shared" si="41"/>
        <v>0.85406698564593309</v>
      </c>
      <c r="DE46" s="21">
        <f t="shared" si="42"/>
        <v>26.197816666666668</v>
      </c>
      <c r="DF46" s="55"/>
      <c r="DG46" s="55"/>
      <c r="DH46" s="55"/>
      <c r="DI46" s="55"/>
      <c r="DJ46" s="104"/>
      <c r="DK46" s="53"/>
      <c r="DM46" s="58">
        <f t="shared" si="43"/>
        <v>960.6662937485662</v>
      </c>
      <c r="DN46" s="58">
        <f t="shared" si="73"/>
        <v>802.5</v>
      </c>
      <c r="DO46" s="21">
        <f t="shared" si="74"/>
        <v>0.83535771497572409</v>
      </c>
      <c r="DP46" s="62">
        <f t="shared" si="79"/>
        <v>1.0199855667153923</v>
      </c>
      <c r="DQ46" s="7">
        <v>0</v>
      </c>
      <c r="DR46" s="107">
        <f t="shared" si="47"/>
        <v>0</v>
      </c>
    </row>
    <row r="47" spans="1:122" ht="12.75" customHeight="1" x14ac:dyDescent="0.2">
      <c r="A47" s="53" t="s">
        <v>183</v>
      </c>
      <c r="B47" s="54">
        <v>2</v>
      </c>
      <c r="C47" s="92">
        <f t="shared" si="75"/>
        <v>97.224872629485091</v>
      </c>
      <c r="D47" s="92">
        <f t="shared" si="76"/>
        <v>92.716178066608691</v>
      </c>
      <c r="E47" s="92">
        <f>VLOOKUP(A47,[3]TRTOTAL!$A$7:$D$313,3,FALSE)</f>
        <v>97.224872629485091</v>
      </c>
      <c r="F47" s="92">
        <f>VLOOKUP(A47,[3]TRTOTAL!$A$7:$D$313,4,FALSE)</f>
        <v>92.716178066608691</v>
      </c>
      <c r="G47" s="92">
        <f t="shared" si="48"/>
        <v>0</v>
      </c>
      <c r="H47" s="92">
        <f t="shared" si="49"/>
        <v>0</v>
      </c>
      <c r="I47" s="54">
        <v>6.09</v>
      </c>
      <c r="J47" s="56">
        <v>6.09</v>
      </c>
      <c r="K47" s="54">
        <v>3</v>
      </c>
      <c r="L47" s="57">
        <v>2</v>
      </c>
      <c r="M47" s="57"/>
      <c r="N47" s="57">
        <v>159</v>
      </c>
      <c r="O47" s="87"/>
      <c r="P47" s="24">
        <f t="shared" si="54"/>
        <v>17.629949999999997</v>
      </c>
      <c r="Q47" s="24">
        <f t="shared" si="51"/>
        <v>8.86</v>
      </c>
      <c r="R47" s="24">
        <f t="shared" si="77"/>
        <v>5.419533333333332</v>
      </c>
      <c r="S47" s="87">
        <v>9.3000000000000007</v>
      </c>
      <c r="T47" s="21">
        <f t="shared" si="55"/>
        <v>5.9689999999999994</v>
      </c>
      <c r="U47" s="21"/>
      <c r="V47" s="24">
        <f t="shared" si="78"/>
        <v>2.29</v>
      </c>
      <c r="W47" s="24">
        <f t="shared" si="56"/>
        <v>2.4565000000000001</v>
      </c>
      <c r="X47" s="24">
        <f t="shared" si="57"/>
        <v>2.9215783909307511</v>
      </c>
      <c r="Y47" s="25">
        <f t="shared" si="9"/>
        <v>1</v>
      </c>
      <c r="Z47" s="24">
        <f t="shared" si="10"/>
        <v>16.293378499523758</v>
      </c>
      <c r="AA47" s="21">
        <f t="shared" si="58"/>
        <v>2.0149960341066824</v>
      </c>
      <c r="AB47" s="24">
        <f t="shared" si="12"/>
        <v>4.8147822071879558</v>
      </c>
      <c r="AC47" s="24">
        <f t="shared" si="59"/>
        <v>24.15039151977728</v>
      </c>
      <c r="AD47" s="58">
        <f t="shared" si="60"/>
        <v>303</v>
      </c>
      <c r="AE47" s="58">
        <f t="shared" si="61"/>
        <v>309</v>
      </c>
      <c r="AF47" s="21">
        <f t="shared" si="16"/>
        <v>3.6681525000000006</v>
      </c>
      <c r="AG47" s="77">
        <f t="shared" si="17"/>
        <v>0</v>
      </c>
      <c r="AH47" s="114">
        <f t="shared" si="50"/>
        <v>1</v>
      </c>
      <c r="AI47" s="59">
        <f t="shared" si="18"/>
        <v>95.63253527112947</v>
      </c>
      <c r="AJ47" s="59">
        <f t="shared" si="19"/>
        <v>91.197683569608543</v>
      </c>
      <c r="AK47" s="55">
        <v>8.86</v>
      </c>
      <c r="AL47" s="55">
        <v>2.29</v>
      </c>
      <c r="AM47" s="21">
        <f t="shared" si="80"/>
        <v>10.1447</v>
      </c>
      <c r="AN47" s="54">
        <v>8.86</v>
      </c>
      <c r="AO47" s="55">
        <v>0.14000000000000001</v>
      </c>
      <c r="AP47" s="21">
        <f t="shared" si="62"/>
        <v>0.8269333333333333</v>
      </c>
      <c r="AQ47" s="55">
        <v>2.36</v>
      </c>
      <c r="AR47" s="55">
        <v>0</v>
      </c>
      <c r="AS47" s="21">
        <f t="shared" si="63"/>
        <v>0</v>
      </c>
      <c r="AT47" s="54">
        <v>8.64</v>
      </c>
      <c r="AU47" s="54">
        <v>0.74</v>
      </c>
      <c r="AV47" s="21">
        <f t="shared" si="64"/>
        <v>3.1968000000000001</v>
      </c>
      <c r="AW47" s="54"/>
      <c r="AX47" s="54"/>
      <c r="AY47" s="21">
        <f t="shared" si="65"/>
        <v>0</v>
      </c>
      <c r="AZ47" s="54">
        <v>8.44</v>
      </c>
      <c r="BA47" s="54">
        <v>0.34</v>
      </c>
      <c r="BB47" s="21">
        <f t="shared" si="66"/>
        <v>1.9130666666666667</v>
      </c>
      <c r="BC47" s="54"/>
      <c r="BD47" s="54"/>
      <c r="BE47" s="21">
        <f t="shared" si="67"/>
        <v>0</v>
      </c>
      <c r="BF47" s="55"/>
      <c r="BG47" s="55"/>
      <c r="BH47" s="21">
        <f t="shared" si="68"/>
        <v>0</v>
      </c>
      <c r="BI47" s="55"/>
      <c r="BJ47" s="55"/>
      <c r="BK47" s="21">
        <f t="shared" si="69"/>
        <v>0</v>
      </c>
      <c r="BL47" s="55"/>
      <c r="BM47" s="55"/>
      <c r="BN47" s="21">
        <f t="shared" si="52"/>
        <v>0</v>
      </c>
      <c r="BO47" s="55"/>
      <c r="BP47" s="55"/>
      <c r="BQ47" s="21">
        <f t="shared" si="53"/>
        <v>0</v>
      </c>
      <c r="BR47" s="55"/>
      <c r="BS47" s="21">
        <f t="shared" si="70"/>
        <v>16.081499999999998</v>
      </c>
      <c r="BT47" s="56">
        <v>6.35</v>
      </c>
      <c r="BU47" s="56">
        <v>1.64</v>
      </c>
      <c r="BV47" s="21">
        <f t="shared" si="32"/>
        <v>5.206999999999999</v>
      </c>
      <c r="BW47" s="77">
        <f t="shared" si="33"/>
        <v>6.35</v>
      </c>
      <c r="BX47" s="55">
        <v>0</v>
      </c>
      <c r="BY47" s="21">
        <f t="shared" si="34"/>
        <v>0</v>
      </c>
      <c r="BZ47" s="55">
        <v>6.71</v>
      </c>
      <c r="CA47" s="55">
        <v>0.04</v>
      </c>
      <c r="CB47" s="21">
        <f t="shared" si="35"/>
        <v>0.17893333333333336</v>
      </c>
      <c r="CC47" s="54">
        <v>1.68</v>
      </c>
      <c r="CD47" s="54">
        <v>0.03</v>
      </c>
      <c r="CE47" s="21">
        <f t="shared" si="36"/>
        <v>3.3599999999999998E-2</v>
      </c>
      <c r="CF47" s="21"/>
      <c r="CG47" s="21"/>
      <c r="CH47" s="21">
        <f t="shared" si="37"/>
        <v>0</v>
      </c>
      <c r="CI47" s="25">
        <f t="shared" si="38"/>
        <v>5.419533333333332</v>
      </c>
      <c r="CJ47" s="54">
        <v>0.33300000000000002</v>
      </c>
      <c r="CK47" s="21">
        <f t="shared" si="71"/>
        <v>1.5484500000000001</v>
      </c>
      <c r="CL47" s="55">
        <v>388</v>
      </c>
      <c r="CM47" s="55" t="s">
        <v>184</v>
      </c>
      <c r="CN47" s="60">
        <v>39975</v>
      </c>
      <c r="CO47" s="55" t="s">
        <v>178</v>
      </c>
      <c r="CP47" s="55"/>
      <c r="CQ47" s="55"/>
      <c r="CR47" s="55"/>
      <c r="CS47" s="55"/>
      <c r="CT47" s="55"/>
      <c r="CU47" s="55"/>
      <c r="CV47" s="55"/>
      <c r="CW47" s="55"/>
      <c r="CX47" s="55"/>
      <c r="CY47" s="21">
        <f t="shared" si="72"/>
        <v>0</v>
      </c>
      <c r="CZ47" s="56">
        <v>4.33</v>
      </c>
      <c r="DA47" s="56">
        <v>8.98</v>
      </c>
      <c r="DB47" s="56">
        <v>7.76</v>
      </c>
      <c r="DC47" s="56">
        <v>3.3</v>
      </c>
      <c r="DD47" s="61">
        <f t="shared" si="41"/>
        <v>0.76212471131639714</v>
      </c>
      <c r="DE47" s="21">
        <f t="shared" si="42"/>
        <v>24.454350000000005</v>
      </c>
      <c r="DF47" s="55"/>
      <c r="DG47" s="55"/>
      <c r="DH47" s="55"/>
      <c r="DI47" s="55"/>
      <c r="DJ47" s="104"/>
      <c r="DK47" s="53"/>
      <c r="DM47" s="58">
        <f t="shared" si="43"/>
        <v>963.85962001693918</v>
      </c>
      <c r="DN47" s="58">
        <f t="shared" si="73"/>
        <v>829.5</v>
      </c>
      <c r="DO47" s="21">
        <f t="shared" si="74"/>
        <v>0.86060250141552985</v>
      </c>
      <c r="DP47" s="62">
        <f t="shared" si="79"/>
        <v>1.0166505818740574</v>
      </c>
      <c r="DQ47" s="7">
        <v>0</v>
      </c>
      <c r="DR47" s="107">
        <f t="shared" si="47"/>
        <v>0</v>
      </c>
    </row>
    <row r="48" spans="1:122" ht="12.75" customHeight="1" x14ac:dyDescent="0.2">
      <c r="A48" s="53" t="s">
        <v>185</v>
      </c>
      <c r="B48" s="54">
        <v>2</v>
      </c>
      <c r="C48" s="92">
        <f t="shared" si="75"/>
        <v>101.40180757954809</v>
      </c>
      <c r="D48" s="92">
        <f t="shared" si="76"/>
        <v>95.647802965960295</v>
      </c>
      <c r="E48" s="92">
        <f>VLOOKUP(A48,[3]TRTOTAL!$A$7:$D$313,3,FALSE)</f>
        <v>101.40180757954809</v>
      </c>
      <c r="F48" s="92">
        <f>VLOOKUP(A48,[3]TRTOTAL!$A$7:$D$313,4,FALSE)</f>
        <v>95.647802965960295</v>
      </c>
      <c r="G48" s="92">
        <f t="shared" si="48"/>
        <v>0</v>
      </c>
      <c r="H48" s="92">
        <f t="shared" si="49"/>
        <v>0</v>
      </c>
      <c r="I48" s="54">
        <v>6.09</v>
      </c>
      <c r="J48" s="56">
        <v>6.09</v>
      </c>
      <c r="K48" s="54">
        <v>3.02</v>
      </c>
      <c r="L48" s="57">
        <v>2</v>
      </c>
      <c r="M48" s="57"/>
      <c r="N48" s="57">
        <v>157</v>
      </c>
      <c r="O48" s="87"/>
      <c r="P48" s="24">
        <f t="shared" si="54"/>
        <v>15.768983333333333</v>
      </c>
      <c r="Q48" s="24">
        <f t="shared" si="51"/>
        <v>8.8699999999999992</v>
      </c>
      <c r="R48" s="24">
        <f t="shared" si="77"/>
        <v>4.43</v>
      </c>
      <c r="S48" s="87">
        <v>9.3000000000000007</v>
      </c>
      <c r="T48" s="21">
        <f t="shared" si="55"/>
        <v>6.31</v>
      </c>
      <c r="U48" s="21"/>
      <c r="V48" s="24">
        <f t="shared" si="78"/>
        <v>2.1800000000000002</v>
      </c>
      <c r="W48" s="24">
        <f t="shared" si="56"/>
        <v>2.3450000000000002</v>
      </c>
      <c r="X48" s="24">
        <f t="shared" si="57"/>
        <v>2.8675962253914706</v>
      </c>
      <c r="Y48" s="25">
        <f t="shared" si="9"/>
        <v>1</v>
      </c>
      <c r="Z48" s="24">
        <f t="shared" si="10"/>
        <v>14.492185917278176</v>
      </c>
      <c r="AA48" s="21">
        <f t="shared" si="58"/>
        <v>1.7745553597179935</v>
      </c>
      <c r="AB48" s="24">
        <f t="shared" si="12"/>
        <v>3.7884633338981231</v>
      </c>
      <c r="AC48" s="24">
        <f t="shared" si="59"/>
        <v>21.497255267769543</v>
      </c>
      <c r="AD48" s="58">
        <f t="shared" si="60"/>
        <v>301</v>
      </c>
      <c r="AE48" s="58">
        <f t="shared" si="61"/>
        <v>307</v>
      </c>
      <c r="AF48" s="21">
        <f t="shared" si="16"/>
        <v>3.70910625</v>
      </c>
      <c r="AG48" s="77">
        <f t="shared" si="17"/>
        <v>0</v>
      </c>
      <c r="AH48" s="114">
        <f t="shared" si="50"/>
        <v>1</v>
      </c>
      <c r="AI48" s="59">
        <f t="shared" si="18"/>
        <v>101.07748714731578</v>
      </c>
      <c r="AJ48" s="59">
        <f t="shared" si="19"/>
        <v>95.341885965657752</v>
      </c>
      <c r="AK48" s="55">
        <v>8.8699999999999992</v>
      </c>
      <c r="AL48" s="55">
        <v>2.1800000000000002</v>
      </c>
      <c r="AM48" s="21">
        <v>8.8699999999999992</v>
      </c>
      <c r="AN48" s="54">
        <v>8.8699999999999992</v>
      </c>
      <c r="AO48" s="55">
        <v>0.13</v>
      </c>
      <c r="AP48" s="21">
        <f t="shared" si="62"/>
        <v>0.76873333333333338</v>
      </c>
      <c r="AQ48" s="55"/>
      <c r="AR48" s="55">
        <v>0</v>
      </c>
      <c r="AS48" s="21">
        <f t="shared" si="63"/>
        <v>0</v>
      </c>
      <c r="AT48" s="54">
        <v>8.65</v>
      </c>
      <c r="AU48" s="54">
        <v>0.75</v>
      </c>
      <c r="AV48" s="21">
        <f t="shared" si="64"/>
        <v>3.2437500000000004</v>
      </c>
      <c r="AW48" s="54"/>
      <c r="AX48" s="54"/>
      <c r="AY48" s="21">
        <f t="shared" si="65"/>
        <v>0</v>
      </c>
      <c r="AZ48" s="54">
        <v>8.4499999999999993</v>
      </c>
      <c r="BA48" s="54">
        <v>0.24</v>
      </c>
      <c r="BB48" s="21">
        <f t="shared" si="66"/>
        <v>1.3519999999999996</v>
      </c>
      <c r="BC48" s="54"/>
      <c r="BD48" s="54"/>
      <c r="BE48" s="21">
        <f t="shared" si="67"/>
        <v>0</v>
      </c>
      <c r="BF48" s="55"/>
      <c r="BG48" s="55"/>
      <c r="BH48" s="21">
        <f t="shared" si="68"/>
        <v>0</v>
      </c>
      <c r="BI48" s="55"/>
      <c r="BJ48" s="55"/>
      <c r="BK48" s="21">
        <f t="shared" si="69"/>
        <v>0</v>
      </c>
      <c r="BL48" s="55"/>
      <c r="BM48" s="55"/>
      <c r="BN48" s="21">
        <f t="shared" si="52"/>
        <v>0</v>
      </c>
      <c r="BO48" s="55"/>
      <c r="BP48" s="55"/>
      <c r="BQ48" s="21">
        <f t="shared" si="53"/>
        <v>0</v>
      </c>
      <c r="BR48" s="55"/>
      <c r="BS48" s="21">
        <f t="shared" si="70"/>
        <v>14.234483333333333</v>
      </c>
      <c r="BT48" s="56"/>
      <c r="BU48" s="56">
        <v>1.58</v>
      </c>
      <c r="BV48" s="21"/>
      <c r="BW48" s="77">
        <f t="shared" si="33"/>
        <v>0</v>
      </c>
      <c r="BX48" s="55"/>
      <c r="BY48" s="21"/>
      <c r="BZ48" s="55"/>
      <c r="CA48" s="55"/>
      <c r="CB48" s="21"/>
      <c r="CC48" s="55"/>
      <c r="CD48" s="55"/>
      <c r="CE48" s="21"/>
      <c r="CF48" s="21"/>
      <c r="CG48" s="21"/>
      <c r="CH48" s="21">
        <f t="shared" si="37"/>
        <v>0</v>
      </c>
      <c r="CI48" s="25">
        <f t="shared" si="38"/>
        <v>4.43</v>
      </c>
      <c r="CJ48" s="54">
        <v>0.33</v>
      </c>
      <c r="CK48" s="21">
        <f t="shared" si="71"/>
        <v>1.5345000000000002</v>
      </c>
      <c r="CL48" s="55">
        <v>886</v>
      </c>
      <c r="CM48" s="55" t="s">
        <v>186</v>
      </c>
      <c r="CN48" s="60">
        <v>41439</v>
      </c>
      <c r="CO48" s="55" t="s">
        <v>164</v>
      </c>
      <c r="CP48" s="55"/>
      <c r="CQ48" s="55"/>
      <c r="CR48" s="55"/>
      <c r="CS48" s="63"/>
      <c r="CT48" s="55"/>
      <c r="CU48" s="55"/>
      <c r="CV48" s="55"/>
      <c r="CW48" s="55"/>
      <c r="CX48" s="55"/>
      <c r="CY48" s="21">
        <f t="shared" si="72"/>
        <v>0</v>
      </c>
      <c r="CZ48" s="56">
        <v>4.21</v>
      </c>
      <c r="DA48" s="56">
        <v>9</v>
      </c>
      <c r="DB48" s="56">
        <v>7.85</v>
      </c>
      <c r="DC48" s="56">
        <v>3.35</v>
      </c>
      <c r="DD48" s="61">
        <f t="shared" si="41"/>
        <v>0.79572446555819476</v>
      </c>
      <c r="DE48" s="21">
        <f t="shared" si="42"/>
        <v>24.727375000000002</v>
      </c>
      <c r="DF48" s="55"/>
      <c r="DG48" s="55">
        <v>4.43</v>
      </c>
      <c r="DH48" s="55">
        <v>6.31</v>
      </c>
      <c r="DI48" s="55"/>
      <c r="DJ48" s="104"/>
      <c r="DK48" s="53" t="s">
        <v>187</v>
      </c>
      <c r="DM48" s="58">
        <f t="shared" si="43"/>
        <v>855.56708876199662</v>
      </c>
      <c r="DN48" s="58">
        <f t="shared" si="73"/>
        <v>831.01</v>
      </c>
      <c r="DO48" s="21">
        <f t="shared" si="74"/>
        <v>0.97129729616232585</v>
      </c>
      <c r="DP48" s="62">
        <f t="shared" si="79"/>
        <v>1.0032086317278508</v>
      </c>
      <c r="DQ48" s="7">
        <v>0</v>
      </c>
      <c r="DR48" s="107">
        <f t="shared" si="47"/>
        <v>0</v>
      </c>
    </row>
    <row r="49" spans="1:122" ht="12.75" customHeight="1" x14ac:dyDescent="0.2">
      <c r="A49" s="53" t="s">
        <v>188</v>
      </c>
      <c r="B49" s="54">
        <v>2</v>
      </c>
      <c r="C49" s="92">
        <f t="shared" si="75"/>
        <v>91.029020099723525</v>
      </c>
      <c r="D49" s="92">
        <f t="shared" si="76"/>
        <v>86.472720434617742</v>
      </c>
      <c r="E49" s="92">
        <f>VLOOKUP(A49,[3]TRTOTAL!$A$7:$D$313,3,FALSE)</f>
        <v>91.029020099723525</v>
      </c>
      <c r="F49" s="92">
        <f>VLOOKUP(A49,[3]TRTOTAL!$A$7:$D$313,4,FALSE)</f>
        <v>86.472720434617742</v>
      </c>
      <c r="G49" s="92">
        <f t="shared" si="48"/>
        <v>0</v>
      </c>
      <c r="H49" s="92">
        <f t="shared" si="49"/>
        <v>0</v>
      </c>
      <c r="I49" s="54">
        <v>6.09</v>
      </c>
      <c r="J49" s="56">
        <v>6.09</v>
      </c>
      <c r="K49" s="54">
        <v>3.02</v>
      </c>
      <c r="L49" s="57">
        <v>2</v>
      </c>
      <c r="M49" s="57"/>
      <c r="N49" s="57">
        <v>163</v>
      </c>
      <c r="O49" s="87"/>
      <c r="P49" s="24">
        <f t="shared" si="54"/>
        <v>23.009283333333332</v>
      </c>
      <c r="Q49" s="24">
        <f t="shared" si="51"/>
        <v>10.029999999999999</v>
      </c>
      <c r="R49" s="24">
        <f t="shared" si="77"/>
        <v>5.9559999999999986</v>
      </c>
      <c r="S49" s="87">
        <v>10.4</v>
      </c>
      <c r="T49" s="21">
        <f t="shared" si="55"/>
        <v>6.7491999999999992</v>
      </c>
      <c r="U49" s="21"/>
      <c r="V49" s="24">
        <f t="shared" si="78"/>
        <v>2.4500000000000002</v>
      </c>
      <c r="W49" s="24">
        <f t="shared" si="56"/>
        <v>2.625</v>
      </c>
      <c r="X49" s="24">
        <f t="shared" si="57"/>
        <v>3.339215721844293</v>
      </c>
      <c r="Y49" s="25">
        <f t="shared" si="9"/>
        <v>1</v>
      </c>
      <c r="Z49" s="24">
        <f t="shared" si="10"/>
        <v>22.134577548289187</v>
      </c>
      <c r="AA49" s="21">
        <f t="shared" si="58"/>
        <v>2.1102607709750565</v>
      </c>
      <c r="AB49" s="24">
        <f t="shared" si="12"/>
        <v>5.3652260330938759</v>
      </c>
      <c r="AC49" s="24">
        <f t="shared" si="59"/>
        <v>31.76225294708086</v>
      </c>
      <c r="AD49" s="58">
        <f t="shared" si="60"/>
        <v>307</v>
      </c>
      <c r="AE49" s="58">
        <f t="shared" si="61"/>
        <v>313</v>
      </c>
      <c r="AF49" s="21">
        <f t="shared" si="16"/>
        <v>4.9599287500000004</v>
      </c>
      <c r="AG49" s="77">
        <f t="shared" si="17"/>
        <v>0</v>
      </c>
      <c r="AH49" s="114">
        <f t="shared" si="50"/>
        <v>1</v>
      </c>
      <c r="AI49" s="59">
        <f t="shared" si="18"/>
        <v>86.398282073303008</v>
      </c>
      <c r="AJ49" s="59">
        <f t="shared" si="19"/>
        <v>82.073765965746873</v>
      </c>
      <c r="AK49" s="55">
        <v>10.029999999999999</v>
      </c>
      <c r="AL49" s="55">
        <v>2.4500000000000002</v>
      </c>
      <c r="AM49" s="21">
        <f t="shared" ref="AM49:AM72" si="81">AK49*AL49*0.5</f>
        <v>12.28675</v>
      </c>
      <c r="AN49" s="54">
        <v>10.029999999999999</v>
      </c>
      <c r="AO49" s="55">
        <v>0.13</v>
      </c>
      <c r="AP49" s="21">
        <f t="shared" si="62"/>
        <v>0.86926666666666674</v>
      </c>
      <c r="AQ49" s="55"/>
      <c r="AR49" s="55">
        <v>0</v>
      </c>
      <c r="AS49" s="21">
        <f t="shared" si="63"/>
        <v>0</v>
      </c>
      <c r="AT49" s="54">
        <v>9.84</v>
      </c>
      <c r="AU49" s="54">
        <v>1.1000000000000001</v>
      </c>
      <c r="AV49" s="21">
        <f t="shared" si="64"/>
        <v>5.4119999999999999</v>
      </c>
      <c r="AW49" s="54"/>
      <c r="AX49" s="54"/>
      <c r="AY49" s="21">
        <f t="shared" si="65"/>
        <v>0</v>
      </c>
      <c r="AZ49" s="54">
        <v>9.59</v>
      </c>
      <c r="BA49" s="54">
        <v>0.41</v>
      </c>
      <c r="BB49" s="21">
        <f t="shared" si="66"/>
        <v>2.6212666666666666</v>
      </c>
      <c r="BC49" s="54"/>
      <c r="BD49" s="54"/>
      <c r="BE49" s="21">
        <f t="shared" si="67"/>
        <v>0</v>
      </c>
      <c r="BF49" s="55"/>
      <c r="BG49" s="55"/>
      <c r="BH49" s="21">
        <f t="shared" si="68"/>
        <v>0</v>
      </c>
      <c r="BI49" s="55"/>
      <c r="BJ49" s="55"/>
      <c r="BK49" s="21">
        <f t="shared" si="69"/>
        <v>0</v>
      </c>
      <c r="BL49" s="55"/>
      <c r="BM49" s="55"/>
      <c r="BN49" s="21">
        <f t="shared" si="52"/>
        <v>0</v>
      </c>
      <c r="BO49" s="55"/>
      <c r="BP49" s="55"/>
      <c r="BQ49" s="21">
        <f t="shared" si="53"/>
        <v>0</v>
      </c>
      <c r="BR49" s="55"/>
      <c r="BS49" s="21">
        <f t="shared" si="70"/>
        <v>21.189283333333332</v>
      </c>
      <c r="BT49" s="56">
        <v>7.18</v>
      </c>
      <c r="BU49" s="56">
        <v>1.68</v>
      </c>
      <c r="BV49" s="21">
        <f t="shared" ref="BV49:BV77" si="82">BT49*BU49*0.5</f>
        <v>6.0311999999999992</v>
      </c>
      <c r="BW49" s="77">
        <f t="shared" si="33"/>
        <v>7.18</v>
      </c>
      <c r="BX49" s="55">
        <v>-0.03</v>
      </c>
      <c r="BY49" s="21">
        <f t="shared" ref="BY49:BY77" si="83">BW49*BX49*2/3</f>
        <v>-0.14359999999999998</v>
      </c>
      <c r="BZ49" s="55">
        <v>6.85</v>
      </c>
      <c r="CA49" s="55">
        <v>0</v>
      </c>
      <c r="CB49" s="21">
        <f t="shared" ref="CB49:CB77" si="84">BZ49*CA49*2/3</f>
        <v>0</v>
      </c>
      <c r="CC49" s="55">
        <v>1.71</v>
      </c>
      <c r="CD49" s="55">
        <v>0.06</v>
      </c>
      <c r="CE49" s="21">
        <f t="shared" ref="CE49:CE77" si="85">CC49*CD49*2/3</f>
        <v>6.8400000000000002E-2</v>
      </c>
      <c r="CF49" s="21"/>
      <c r="CG49" s="21"/>
      <c r="CH49" s="21">
        <f t="shared" si="37"/>
        <v>0</v>
      </c>
      <c r="CI49" s="25">
        <f t="shared" si="38"/>
        <v>5.9559999999999986</v>
      </c>
      <c r="CJ49" s="54">
        <v>0.35</v>
      </c>
      <c r="CK49" s="21">
        <f t="shared" si="71"/>
        <v>1.8199999999999998</v>
      </c>
      <c r="CL49" s="55">
        <v>886</v>
      </c>
      <c r="CM49" s="55" t="s">
        <v>186</v>
      </c>
      <c r="CN49" s="60">
        <v>38883</v>
      </c>
      <c r="CO49" s="55" t="s">
        <v>164</v>
      </c>
      <c r="CP49" s="55" t="s">
        <v>189</v>
      </c>
      <c r="CQ49" s="55" t="s">
        <v>190</v>
      </c>
      <c r="CR49" s="55" t="s">
        <v>191</v>
      </c>
      <c r="CS49" s="63" t="s">
        <v>192</v>
      </c>
      <c r="CT49" s="55"/>
      <c r="CU49" s="55"/>
      <c r="CV49" s="55"/>
      <c r="CW49" s="55"/>
      <c r="CX49" s="55"/>
      <c r="CY49" s="21">
        <f t="shared" si="72"/>
        <v>0</v>
      </c>
      <c r="CZ49" s="56">
        <v>4.6900000000000004</v>
      </c>
      <c r="DA49" s="56">
        <v>9.69</v>
      </c>
      <c r="DB49" s="56">
        <v>10.34</v>
      </c>
      <c r="DC49" s="56">
        <v>3.78</v>
      </c>
      <c r="DD49" s="61">
        <f t="shared" si="41"/>
        <v>0.80597014925373123</v>
      </c>
      <c r="DE49" s="21">
        <f t="shared" si="42"/>
        <v>33.066191666666668</v>
      </c>
      <c r="DF49" s="55"/>
      <c r="DG49" s="55"/>
      <c r="DH49" s="55"/>
      <c r="DI49" s="55"/>
      <c r="DJ49" s="104"/>
      <c r="DK49" s="53"/>
      <c r="DM49" s="58">
        <f t="shared" si="43"/>
        <v>1350.3603041746762</v>
      </c>
      <c r="DN49" s="58">
        <f t="shared" si="73"/>
        <v>840.06999999999994</v>
      </c>
      <c r="DO49" s="21">
        <f t="shared" si="74"/>
        <v>0.6221080384271519</v>
      </c>
      <c r="DP49" s="62">
        <f t="shared" si="79"/>
        <v>1.0535975706379399</v>
      </c>
      <c r="DQ49" s="7">
        <v>0</v>
      </c>
      <c r="DR49" s="107">
        <f t="shared" si="47"/>
        <v>0</v>
      </c>
    </row>
    <row r="50" spans="1:122" ht="12.75" customHeight="1" x14ac:dyDescent="0.2">
      <c r="A50" s="53" t="s">
        <v>193</v>
      </c>
      <c r="B50" s="54">
        <v>2</v>
      </c>
      <c r="C50" s="92">
        <f t="shared" si="75"/>
        <v>102.2643313106346</v>
      </c>
      <c r="D50" s="92">
        <f t="shared" si="76"/>
        <v>95.809811440600924</v>
      </c>
      <c r="E50" s="92">
        <f>VLOOKUP(A50,[3]TRTOTAL!$A$7:$D$313,3,FALSE)</f>
        <v>102.2643313106346</v>
      </c>
      <c r="F50" s="92">
        <f>VLOOKUP(A50,[3]TRTOTAL!$A$7:$D$313,4,FALSE)</f>
        <v>95.809811440600924</v>
      </c>
      <c r="G50" s="92">
        <f t="shared" si="48"/>
        <v>0</v>
      </c>
      <c r="H50" s="92">
        <f t="shared" si="49"/>
        <v>0</v>
      </c>
      <c r="I50" s="54">
        <v>6.09</v>
      </c>
      <c r="J50" s="56">
        <v>6.09</v>
      </c>
      <c r="K50" s="54">
        <v>3.02</v>
      </c>
      <c r="L50" s="57">
        <v>2</v>
      </c>
      <c r="M50" s="57"/>
      <c r="N50" s="57">
        <v>160</v>
      </c>
      <c r="O50" s="87"/>
      <c r="P50" s="24">
        <f t="shared" si="54"/>
        <v>20.262983333333334</v>
      </c>
      <c r="Q50" s="24">
        <f t="shared" si="51"/>
        <v>10.039999999999999</v>
      </c>
      <c r="R50" s="24">
        <f t="shared" si="77"/>
        <v>0</v>
      </c>
      <c r="S50" s="87">
        <v>10.4</v>
      </c>
      <c r="T50" s="21">
        <f t="shared" si="55"/>
        <v>0</v>
      </c>
      <c r="U50" s="21"/>
      <c r="V50" s="24">
        <f t="shared" si="78"/>
        <v>2.41</v>
      </c>
      <c r="W50" s="24">
        <f t="shared" si="56"/>
        <v>2.585</v>
      </c>
      <c r="X50" s="24">
        <f t="shared" si="57"/>
        <v>3.0323707048675157</v>
      </c>
      <c r="Y50" s="25">
        <f t="shared" si="9"/>
        <v>1</v>
      </c>
      <c r="Z50" s="24">
        <f t="shared" si="10"/>
        <v>18.937074059365504</v>
      </c>
      <c r="AA50" s="21">
        <f t="shared" si="58"/>
        <v>0</v>
      </c>
      <c r="AB50" s="24">
        <f t="shared" si="12"/>
        <v>0</v>
      </c>
      <c r="AC50" s="24">
        <f t="shared" si="59"/>
        <v>22.646180309365505</v>
      </c>
      <c r="AD50" s="58">
        <f t="shared" si="60"/>
        <v>304</v>
      </c>
      <c r="AE50" s="58">
        <f t="shared" si="61"/>
        <v>310</v>
      </c>
      <c r="AF50" s="21">
        <f t="shared" si="16"/>
        <v>3.70910625</v>
      </c>
      <c r="AG50" s="77">
        <f t="shared" si="17"/>
        <v>0</v>
      </c>
      <c r="AH50" s="114">
        <f t="shared" si="50"/>
        <v>1</v>
      </c>
      <c r="AI50" s="59">
        <f t="shared" si="18"/>
        <v>99.982901424427325</v>
      </c>
      <c r="AJ50" s="59">
        <f t="shared" si="19"/>
        <v>93.672376379802358</v>
      </c>
      <c r="AK50" s="55">
        <v>10.039999999999999</v>
      </c>
      <c r="AL50" s="55">
        <v>2.41</v>
      </c>
      <c r="AM50" s="21">
        <f t="shared" si="81"/>
        <v>12.0982</v>
      </c>
      <c r="AN50" s="54">
        <v>10.039999999999999</v>
      </c>
      <c r="AO50" s="55">
        <v>0.13</v>
      </c>
      <c r="AP50" s="21">
        <f t="shared" si="62"/>
        <v>0.87013333333333331</v>
      </c>
      <c r="AQ50" s="55"/>
      <c r="AR50" s="55">
        <v>0</v>
      </c>
      <c r="AS50" s="21">
        <f t="shared" si="63"/>
        <v>0</v>
      </c>
      <c r="AT50" s="54">
        <v>9.85</v>
      </c>
      <c r="AU50" s="54">
        <v>0.89</v>
      </c>
      <c r="AV50" s="21">
        <f t="shared" si="64"/>
        <v>4.3832500000000003</v>
      </c>
      <c r="AW50" s="54"/>
      <c r="AX50" s="54"/>
      <c r="AY50" s="21">
        <f t="shared" si="65"/>
        <v>0</v>
      </c>
      <c r="AZ50" s="54">
        <v>9.6300000000000008</v>
      </c>
      <c r="BA50" s="54">
        <v>0.17</v>
      </c>
      <c r="BB50" s="21">
        <f t="shared" si="66"/>
        <v>1.0914000000000001</v>
      </c>
      <c r="BC50" s="54"/>
      <c r="BD50" s="54"/>
      <c r="BE50" s="21">
        <f t="shared" si="67"/>
        <v>0</v>
      </c>
      <c r="BF50" s="55"/>
      <c r="BG50" s="55"/>
      <c r="BH50" s="21">
        <f t="shared" si="68"/>
        <v>0</v>
      </c>
      <c r="BI50" s="55"/>
      <c r="BJ50" s="55"/>
      <c r="BK50" s="21">
        <f t="shared" si="69"/>
        <v>0</v>
      </c>
      <c r="BL50" s="55"/>
      <c r="BM50" s="55"/>
      <c r="BN50" s="21">
        <f t="shared" si="52"/>
        <v>0</v>
      </c>
      <c r="BO50" s="55"/>
      <c r="BP50" s="55"/>
      <c r="BQ50" s="21">
        <f t="shared" si="53"/>
        <v>0</v>
      </c>
      <c r="BR50" s="55"/>
      <c r="BS50" s="21">
        <f t="shared" si="70"/>
        <v>18.442983333333334</v>
      </c>
      <c r="BT50" s="56">
        <v>0</v>
      </c>
      <c r="BU50" s="56"/>
      <c r="BV50" s="21">
        <f t="shared" si="82"/>
        <v>0</v>
      </c>
      <c r="BW50" s="77">
        <f t="shared" si="33"/>
        <v>0</v>
      </c>
      <c r="BX50" s="55">
        <v>0</v>
      </c>
      <c r="BY50" s="21">
        <f t="shared" si="83"/>
        <v>0</v>
      </c>
      <c r="BZ50" s="55"/>
      <c r="CA50" s="55">
        <v>0</v>
      </c>
      <c r="CB50" s="21">
        <f t="shared" si="84"/>
        <v>0</v>
      </c>
      <c r="CC50" s="55"/>
      <c r="CD50" s="55"/>
      <c r="CE50" s="21">
        <f t="shared" si="85"/>
        <v>0</v>
      </c>
      <c r="CF50" s="21"/>
      <c r="CG50" s="21"/>
      <c r="CH50" s="21">
        <f t="shared" si="37"/>
        <v>0</v>
      </c>
      <c r="CI50" s="25">
        <f t="shared" si="38"/>
        <v>0</v>
      </c>
      <c r="CJ50" s="54">
        <v>0.35</v>
      </c>
      <c r="CK50" s="21">
        <f t="shared" si="71"/>
        <v>1.8199999999999998</v>
      </c>
      <c r="CL50" s="55">
        <v>885</v>
      </c>
      <c r="CM50" s="55" t="s">
        <v>186</v>
      </c>
      <c r="CN50" s="60">
        <v>38884</v>
      </c>
      <c r="CO50" s="55" t="s">
        <v>164</v>
      </c>
      <c r="CP50" s="55" t="s">
        <v>194</v>
      </c>
      <c r="CQ50" s="55" t="s">
        <v>195</v>
      </c>
      <c r="CR50" s="55" t="s">
        <v>196</v>
      </c>
      <c r="CS50" s="63" t="s">
        <v>192</v>
      </c>
      <c r="CT50" s="55"/>
      <c r="CU50" s="55"/>
      <c r="CV50" s="55"/>
      <c r="CW50" s="55"/>
      <c r="CX50" s="55"/>
      <c r="CY50" s="21">
        <f t="shared" si="72"/>
        <v>0</v>
      </c>
      <c r="CZ50" s="56">
        <v>4.21</v>
      </c>
      <c r="DA50" s="56">
        <v>9</v>
      </c>
      <c r="DB50" s="56">
        <v>7.85</v>
      </c>
      <c r="DC50" s="56">
        <v>3.35</v>
      </c>
      <c r="DD50" s="61">
        <f t="shared" si="41"/>
        <v>0.79572446555819476</v>
      </c>
      <c r="DE50" s="21">
        <f t="shared" si="42"/>
        <v>24.727375000000002</v>
      </c>
      <c r="DF50" s="55"/>
      <c r="DG50" s="55"/>
      <c r="DH50" s="55"/>
      <c r="DI50" s="55"/>
      <c r="DJ50" s="104"/>
      <c r="DK50" s="53"/>
      <c r="DM50" s="58">
        <f t="shared" si="43"/>
        <v>1025.7559402850814</v>
      </c>
      <c r="DN50" s="58">
        <f t="shared" si="73"/>
        <v>835.54</v>
      </c>
      <c r="DO50" s="21">
        <f t="shared" si="74"/>
        <v>0.8145602352229947</v>
      </c>
      <c r="DP50" s="62">
        <f t="shared" si="79"/>
        <v>1.0228182004493209</v>
      </c>
      <c r="DQ50" s="7">
        <v>0</v>
      </c>
      <c r="DR50" s="107">
        <f t="shared" si="47"/>
        <v>0</v>
      </c>
    </row>
    <row r="51" spans="1:122" ht="12.75" customHeight="1" x14ac:dyDescent="0.2">
      <c r="A51" s="53" t="s">
        <v>197</v>
      </c>
      <c r="B51" s="54">
        <v>2</v>
      </c>
      <c r="C51" s="92">
        <f t="shared" si="75"/>
        <v>101.17251780238581</v>
      </c>
      <c r="D51" s="92">
        <f t="shared" si="76"/>
        <v>96.196695198272209</v>
      </c>
      <c r="E51" s="92">
        <f>VLOOKUP(A51,[3]TRTOTAL!$A$7:$D$313,3,FALSE)</f>
        <v>101.17251780238581</v>
      </c>
      <c r="F51" s="92">
        <f>VLOOKUP(A51,[3]TRTOTAL!$A$7:$D$313,4,FALSE)</f>
        <v>96.196695198272209</v>
      </c>
      <c r="G51" s="92">
        <f t="shared" si="48"/>
        <v>0</v>
      </c>
      <c r="H51" s="92">
        <f t="shared" si="49"/>
        <v>0</v>
      </c>
      <c r="I51" s="54">
        <v>6.12</v>
      </c>
      <c r="J51" s="56">
        <v>6.12</v>
      </c>
      <c r="K51" s="54">
        <v>2.6</v>
      </c>
      <c r="L51" s="57">
        <v>2</v>
      </c>
      <c r="M51" s="57"/>
      <c r="N51" s="57">
        <v>190</v>
      </c>
      <c r="O51" s="87"/>
      <c r="P51" s="24">
        <f t="shared" si="54"/>
        <v>18</v>
      </c>
      <c r="Q51" s="24">
        <f t="shared" si="51"/>
        <v>9.08</v>
      </c>
      <c r="R51" s="24">
        <f t="shared" si="77"/>
        <v>4.8499999999999996</v>
      </c>
      <c r="S51" s="87">
        <v>9.5</v>
      </c>
      <c r="T51" s="21">
        <f t="shared" si="55"/>
        <v>6.26</v>
      </c>
      <c r="U51" s="21">
        <v>2.2999999999999998</v>
      </c>
      <c r="V51" s="24">
        <f t="shared" si="78"/>
        <v>2.2999999999999998</v>
      </c>
      <c r="W51" s="24">
        <f t="shared" si="56"/>
        <v>2.46</v>
      </c>
      <c r="X51" s="24">
        <f t="shared" si="57"/>
        <v>2.9744199881023201</v>
      </c>
      <c r="Y51" s="25">
        <f t="shared" si="9"/>
        <v>1</v>
      </c>
      <c r="Z51" s="24">
        <f t="shared" si="10"/>
        <v>16.725071962595457</v>
      </c>
      <c r="AA51" s="21">
        <f t="shared" si="58"/>
        <v>0</v>
      </c>
      <c r="AB51" s="24">
        <f t="shared" si="12"/>
        <v>4.3650000000000002</v>
      </c>
      <c r="AC51" s="24">
        <f t="shared" si="59"/>
        <v>24.272621962595458</v>
      </c>
      <c r="AD51" s="58">
        <f t="shared" si="60"/>
        <v>334</v>
      </c>
      <c r="AE51" s="58">
        <f t="shared" si="61"/>
        <v>340</v>
      </c>
      <c r="AF51" s="21">
        <f t="shared" si="16"/>
        <v>3.75</v>
      </c>
      <c r="AG51" s="77">
        <f t="shared" si="17"/>
        <v>0</v>
      </c>
      <c r="AH51" s="114">
        <f t="shared" si="50"/>
        <v>1</v>
      </c>
      <c r="AI51" s="59">
        <f t="shared" si="18"/>
        <v>98.596865861855122</v>
      </c>
      <c r="AJ51" s="59">
        <f t="shared" si="19"/>
        <v>93.747717847090527</v>
      </c>
      <c r="AK51" s="55"/>
      <c r="AL51" s="55"/>
      <c r="AM51" s="21">
        <f t="shared" si="81"/>
        <v>0</v>
      </c>
      <c r="AN51" s="54">
        <v>9.08</v>
      </c>
      <c r="AO51" s="55"/>
      <c r="AP51" s="21">
        <f t="shared" si="62"/>
        <v>0</v>
      </c>
      <c r="AQ51" s="55"/>
      <c r="AR51" s="55"/>
      <c r="AS51" s="21">
        <f t="shared" si="63"/>
        <v>0</v>
      </c>
      <c r="AT51" s="54"/>
      <c r="AU51" s="54"/>
      <c r="AV51" s="21">
        <f t="shared" si="64"/>
        <v>0</v>
      </c>
      <c r="AW51" s="54"/>
      <c r="AX51" s="54"/>
      <c r="AY51" s="21">
        <f t="shared" si="65"/>
        <v>0</v>
      </c>
      <c r="AZ51" s="54"/>
      <c r="BA51" s="54"/>
      <c r="BB51" s="21">
        <f t="shared" si="66"/>
        <v>0</v>
      </c>
      <c r="BC51" s="54"/>
      <c r="BD51" s="54"/>
      <c r="BE51" s="21">
        <f t="shared" si="67"/>
        <v>0</v>
      </c>
      <c r="BF51" s="55"/>
      <c r="BG51" s="55"/>
      <c r="BH51" s="21">
        <f t="shared" si="68"/>
        <v>0</v>
      </c>
      <c r="BI51" s="55"/>
      <c r="BJ51" s="55"/>
      <c r="BK51" s="21">
        <f t="shared" si="69"/>
        <v>0</v>
      </c>
      <c r="BL51" s="55"/>
      <c r="BM51" s="55"/>
      <c r="BN51" s="21">
        <f t="shared" si="52"/>
        <v>0</v>
      </c>
      <c r="BO51" s="55"/>
      <c r="BP51" s="55"/>
      <c r="BQ51" s="21">
        <f t="shared" si="53"/>
        <v>0</v>
      </c>
      <c r="BR51" s="55"/>
      <c r="BS51" s="21">
        <f t="shared" si="70"/>
        <v>0</v>
      </c>
      <c r="BT51" s="56">
        <v>0</v>
      </c>
      <c r="BU51" s="56"/>
      <c r="BV51" s="21">
        <f t="shared" si="82"/>
        <v>0</v>
      </c>
      <c r="BW51" s="77">
        <f t="shared" si="33"/>
        <v>0</v>
      </c>
      <c r="BX51" s="55"/>
      <c r="BY51" s="21">
        <f t="shared" si="83"/>
        <v>0</v>
      </c>
      <c r="BZ51" s="55"/>
      <c r="CA51" s="55"/>
      <c r="CB51" s="21">
        <f t="shared" si="84"/>
        <v>0</v>
      </c>
      <c r="CC51" s="55"/>
      <c r="CD51" s="55"/>
      <c r="CE51" s="21">
        <f t="shared" si="85"/>
        <v>0</v>
      </c>
      <c r="CF51" s="21"/>
      <c r="CG51" s="21"/>
      <c r="CH51" s="21">
        <f t="shared" si="37"/>
        <v>0</v>
      </c>
      <c r="CI51" s="25">
        <f t="shared" si="38"/>
        <v>4.8499999999999996</v>
      </c>
      <c r="CJ51" s="54"/>
      <c r="CK51" s="21">
        <f t="shared" si="71"/>
        <v>0</v>
      </c>
      <c r="CL51" s="55"/>
      <c r="CM51" s="55"/>
      <c r="CN51" s="60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21">
        <f t="shared" si="72"/>
        <v>0</v>
      </c>
      <c r="CZ51" s="56"/>
      <c r="DA51" s="56"/>
      <c r="DB51" s="56"/>
      <c r="DC51" s="56"/>
      <c r="DD51" s="61">
        <f t="shared" si="41"/>
        <v>0</v>
      </c>
      <c r="DE51" s="21">
        <f t="shared" si="42"/>
        <v>25</v>
      </c>
      <c r="DF51" s="55">
        <v>18</v>
      </c>
      <c r="DG51" s="55">
        <v>4.8499999999999996</v>
      </c>
      <c r="DH51" s="55">
        <v>6.26</v>
      </c>
      <c r="DI51" s="55">
        <v>25</v>
      </c>
      <c r="DJ51" s="104"/>
      <c r="DK51" s="53" t="s">
        <v>129</v>
      </c>
      <c r="DM51" s="58">
        <f t="shared" si="43"/>
        <v>985.05869226239986</v>
      </c>
      <c r="DN51" s="58">
        <f t="shared" si="73"/>
        <v>779.2</v>
      </c>
      <c r="DO51" s="21">
        <f t="shared" si="74"/>
        <v>0.79101885615607237</v>
      </c>
      <c r="DP51" s="62">
        <f t="shared" si="79"/>
        <v>1.0261230609920142</v>
      </c>
      <c r="DQ51" s="7">
        <v>0</v>
      </c>
      <c r="DR51" s="107">
        <f t="shared" si="47"/>
        <v>0</v>
      </c>
    </row>
    <row r="52" spans="1:122" ht="12.75" customHeight="1" x14ac:dyDescent="0.2">
      <c r="A52" s="53" t="s">
        <v>198</v>
      </c>
      <c r="B52" s="54">
        <v>2</v>
      </c>
      <c r="C52" s="92">
        <f t="shared" si="75"/>
        <v>92.471702262984977</v>
      </c>
      <c r="D52" s="92">
        <f t="shared" si="76"/>
        <v>88.248379973012476</v>
      </c>
      <c r="E52" s="92">
        <f>VLOOKUP(A52,[3]TRTOTAL!$A$7:$D$313,3,FALSE)</f>
        <v>92.440143966109389</v>
      </c>
      <c r="F52" s="92">
        <f>VLOOKUP(A52,[3]TRTOTAL!$A$7:$D$313,4,FALSE)</f>
        <v>88.218262991213464</v>
      </c>
      <c r="G52" s="92">
        <f t="shared" si="48"/>
        <v>3.1558296875587644E-2</v>
      </c>
      <c r="H52" s="92">
        <f t="shared" si="49"/>
        <v>3.0116981799011455E-2</v>
      </c>
      <c r="I52" s="54">
        <v>6.19</v>
      </c>
      <c r="J52" s="56">
        <v>6.19</v>
      </c>
      <c r="K52" s="54">
        <v>3.54</v>
      </c>
      <c r="L52" s="57">
        <v>2</v>
      </c>
      <c r="M52" s="57"/>
      <c r="N52" s="57">
        <v>175</v>
      </c>
      <c r="O52" s="21" t="s">
        <v>602</v>
      </c>
      <c r="P52" s="24">
        <f t="shared" si="54"/>
        <v>20.6205</v>
      </c>
      <c r="Q52" s="24">
        <f t="shared" si="51"/>
        <v>10</v>
      </c>
      <c r="R52" s="24">
        <f t="shared" si="77"/>
        <v>5.016466666666668</v>
      </c>
      <c r="S52" s="87">
        <v>10.4</v>
      </c>
      <c r="T52" s="21">
        <f t="shared" si="55"/>
        <v>6.6551999999999998</v>
      </c>
      <c r="U52" s="21"/>
      <c r="V52" s="24">
        <f t="shared" si="78"/>
        <v>2.38</v>
      </c>
      <c r="W52" s="24">
        <f t="shared" si="56"/>
        <v>2.57</v>
      </c>
      <c r="X52" s="24">
        <f t="shared" si="57"/>
        <v>3.1220003330860426</v>
      </c>
      <c r="Y52" s="25">
        <f t="shared" si="9"/>
        <v>1</v>
      </c>
      <c r="Z52" s="24">
        <f t="shared" si="10"/>
        <v>19.440340972872306</v>
      </c>
      <c r="AA52" s="21">
        <f t="shared" si="58"/>
        <v>2.2595678873324032</v>
      </c>
      <c r="AB52" s="24">
        <f t="shared" si="12"/>
        <v>4.6125176967944892</v>
      </c>
      <c r="AC52" s="24">
        <f t="shared" si="59"/>
        <v>27.447151369083514</v>
      </c>
      <c r="AD52" s="58">
        <f t="shared" si="60"/>
        <v>319</v>
      </c>
      <c r="AE52" s="58">
        <f t="shared" si="61"/>
        <v>325</v>
      </c>
      <c r="AF52" s="21">
        <f t="shared" si="16"/>
        <v>3.9939199999999997</v>
      </c>
      <c r="AG52" s="77">
        <f t="shared" si="17"/>
        <v>0</v>
      </c>
      <c r="AH52" s="114">
        <f t="shared" si="50"/>
        <v>0.98499999999999999</v>
      </c>
      <c r="AI52" s="59">
        <f t="shared" si="18"/>
        <v>90.468312110142563</v>
      </c>
      <c r="AJ52" s="59">
        <f t="shared" si="19"/>
        <v>86.336487673902099</v>
      </c>
      <c r="AK52" s="55">
        <v>10</v>
      </c>
      <c r="AL52" s="55">
        <v>2.38</v>
      </c>
      <c r="AM52" s="21">
        <f t="shared" si="81"/>
        <v>11.899999999999999</v>
      </c>
      <c r="AN52" s="64">
        <v>10</v>
      </c>
      <c r="AO52" s="55">
        <v>0.12</v>
      </c>
      <c r="AP52" s="21">
        <f t="shared" si="62"/>
        <v>0.79999999999999993</v>
      </c>
      <c r="AQ52" s="55">
        <v>2.44</v>
      </c>
      <c r="AR52" s="55">
        <v>0</v>
      </c>
      <c r="AS52" s="21">
        <f t="shared" si="63"/>
        <v>0</v>
      </c>
      <c r="AT52" s="64">
        <v>9.75</v>
      </c>
      <c r="AU52" s="64">
        <v>1.18</v>
      </c>
      <c r="AV52" s="21">
        <f t="shared" si="64"/>
        <v>5.7524999999999995</v>
      </c>
      <c r="AW52" s="64"/>
      <c r="AX52" s="64"/>
      <c r="AY52" s="21">
        <f t="shared" si="65"/>
        <v>0</v>
      </c>
      <c r="AZ52" s="64">
        <v>9.6</v>
      </c>
      <c r="BA52" s="64">
        <v>0.03</v>
      </c>
      <c r="BB52" s="21">
        <f t="shared" si="66"/>
        <v>0.19199999999999998</v>
      </c>
      <c r="BC52" s="64"/>
      <c r="BD52" s="64">
        <v>0</v>
      </c>
      <c r="BE52" s="21">
        <f t="shared" si="67"/>
        <v>0</v>
      </c>
      <c r="BF52" s="55"/>
      <c r="BG52" s="55"/>
      <c r="BH52" s="21">
        <f t="shared" si="68"/>
        <v>0</v>
      </c>
      <c r="BI52" s="55"/>
      <c r="BJ52" s="55"/>
      <c r="BK52" s="21">
        <f t="shared" si="69"/>
        <v>0</v>
      </c>
      <c r="BL52" s="55">
        <v>0</v>
      </c>
      <c r="BM52" s="55">
        <v>0</v>
      </c>
      <c r="BN52" s="21">
        <f t="shared" si="52"/>
        <v>0</v>
      </c>
      <c r="BO52" s="55">
        <v>0</v>
      </c>
      <c r="BP52" s="55">
        <v>0</v>
      </c>
      <c r="BQ52" s="21">
        <f t="shared" si="53"/>
        <v>0</v>
      </c>
      <c r="BR52" s="55">
        <v>0</v>
      </c>
      <c r="BS52" s="21">
        <f t="shared" si="70"/>
        <v>18.644500000000001</v>
      </c>
      <c r="BT52" s="56">
        <v>7.08</v>
      </c>
      <c r="BU52" s="56">
        <v>1.49</v>
      </c>
      <c r="BV52" s="21">
        <f t="shared" si="82"/>
        <v>5.2746000000000004</v>
      </c>
      <c r="BW52" s="77">
        <f t="shared" si="33"/>
        <v>7.08</v>
      </c>
      <c r="BX52" s="56">
        <v>-0.04</v>
      </c>
      <c r="BY52" s="21">
        <f t="shared" si="83"/>
        <v>-0.1888</v>
      </c>
      <c r="BZ52" s="55">
        <v>6.76</v>
      </c>
      <c r="CA52" s="55">
        <v>-0.02</v>
      </c>
      <c r="CB52" s="21">
        <f t="shared" si="84"/>
        <v>-9.0133333333333329E-2</v>
      </c>
      <c r="CC52" s="64">
        <v>1.56</v>
      </c>
      <c r="CD52" s="64">
        <v>0.02</v>
      </c>
      <c r="CE52" s="21">
        <f t="shared" si="85"/>
        <v>2.0800000000000003E-2</v>
      </c>
      <c r="CF52" s="21"/>
      <c r="CG52" s="21"/>
      <c r="CH52" s="21">
        <f t="shared" si="37"/>
        <v>0</v>
      </c>
      <c r="CI52" s="25">
        <f t="shared" si="38"/>
        <v>5.016466666666668</v>
      </c>
      <c r="CJ52" s="54">
        <v>0.38</v>
      </c>
      <c r="CK52" s="21">
        <f t="shared" si="71"/>
        <v>1.9760000000000002</v>
      </c>
      <c r="CL52" s="55">
        <v>885</v>
      </c>
      <c r="CM52" s="55" t="s">
        <v>199</v>
      </c>
      <c r="CN52" s="60">
        <v>42089</v>
      </c>
      <c r="CO52" s="55" t="s">
        <v>200</v>
      </c>
      <c r="CP52" s="55" t="s">
        <v>201</v>
      </c>
      <c r="CQ52" s="55" t="s">
        <v>195</v>
      </c>
      <c r="CR52" s="55" t="s">
        <v>202</v>
      </c>
      <c r="CS52" s="63"/>
      <c r="CT52" s="55"/>
      <c r="CU52" s="55"/>
      <c r="CV52" s="55"/>
      <c r="CW52" s="55"/>
      <c r="CX52" s="55"/>
      <c r="CY52" s="21">
        <f t="shared" si="72"/>
        <v>0</v>
      </c>
      <c r="CZ52" s="56">
        <v>4.4800000000000004</v>
      </c>
      <c r="DA52" s="56">
        <v>9.5399999999999991</v>
      </c>
      <c r="DB52" s="56">
        <v>8.2899999999999991</v>
      </c>
      <c r="DC52" s="56">
        <v>3.36</v>
      </c>
      <c r="DD52" s="61">
        <f t="shared" si="41"/>
        <v>0.74999999999999989</v>
      </c>
      <c r="DE52" s="21">
        <f t="shared" si="42"/>
        <v>26.626133333333332</v>
      </c>
      <c r="DF52" s="55"/>
      <c r="DG52" s="55"/>
      <c r="DH52" s="55"/>
      <c r="DI52" s="55"/>
      <c r="DJ52" s="104"/>
      <c r="DK52" s="53" t="s">
        <v>203</v>
      </c>
      <c r="DM52" s="58">
        <f t="shared" si="43"/>
        <v>1196.0786148721929</v>
      </c>
      <c r="DN52" s="58">
        <f t="shared" si="73"/>
        <v>980.13</v>
      </c>
      <c r="DO52" s="21">
        <f t="shared" si="74"/>
        <v>0.81945282510107575</v>
      </c>
      <c r="DP52" s="62">
        <f t="shared" si="79"/>
        <v>1.0221446615518077</v>
      </c>
      <c r="DQ52" s="7">
        <v>0</v>
      </c>
      <c r="DR52" s="107">
        <f t="shared" si="47"/>
        <v>0</v>
      </c>
    </row>
    <row r="53" spans="1:122" ht="12.75" customHeight="1" x14ac:dyDescent="0.2">
      <c r="A53" s="53" t="s">
        <v>204</v>
      </c>
      <c r="B53" s="54">
        <v>2</v>
      </c>
      <c r="C53" s="92">
        <f t="shared" si="75"/>
        <v>89.190612068319567</v>
      </c>
      <c r="D53" s="92">
        <f t="shared" si="76"/>
        <v>85.476120699046291</v>
      </c>
      <c r="E53" s="92">
        <f>VLOOKUP(A53,[3]TRTOTAL!$A$7:$D$313,3,FALSE)</f>
        <v>89.193244848085868</v>
      </c>
      <c r="F53" s="92">
        <f>VLOOKUP(A53,[3]TRTOTAL!$A$7:$D$313,4,FALSE)</f>
        <v>85.478643832320742</v>
      </c>
      <c r="G53" s="92">
        <f t="shared" si="48"/>
        <v>-2.6327797663014962E-3</v>
      </c>
      <c r="H53" s="92">
        <f t="shared" si="49"/>
        <v>-2.5231332744510837E-3</v>
      </c>
      <c r="I53" s="54">
        <v>6.19</v>
      </c>
      <c r="J53" s="56">
        <v>6.19</v>
      </c>
      <c r="K53" s="54">
        <v>3.54</v>
      </c>
      <c r="L53" s="57">
        <v>2</v>
      </c>
      <c r="M53" s="57"/>
      <c r="N53" s="57">
        <v>191</v>
      </c>
      <c r="O53" s="21" t="s">
        <v>602</v>
      </c>
      <c r="P53" s="24">
        <f t="shared" si="54"/>
        <v>18.829999999999998</v>
      </c>
      <c r="Q53" s="24">
        <f t="shared" si="51"/>
        <v>9.74</v>
      </c>
      <c r="R53" s="24">
        <f t="shared" si="77"/>
        <v>5.016466666666668</v>
      </c>
      <c r="S53" s="87">
        <v>9.74</v>
      </c>
      <c r="T53" s="21">
        <f t="shared" si="55"/>
        <v>6.6551999999999998</v>
      </c>
      <c r="U53" s="21">
        <v>1.58</v>
      </c>
      <c r="V53" s="24">
        <f t="shared" si="78"/>
        <v>1.58</v>
      </c>
      <c r="W53" s="24">
        <f t="shared" si="56"/>
        <v>1.74</v>
      </c>
      <c r="X53" s="24">
        <f t="shared" si="57"/>
        <v>6.2194477473906717</v>
      </c>
      <c r="Y53" s="25">
        <f t="shared" si="9"/>
        <v>1</v>
      </c>
      <c r="Z53" s="24">
        <f t="shared" si="10"/>
        <v>21.829845888928897</v>
      </c>
      <c r="AA53" s="21">
        <f t="shared" si="58"/>
        <v>2.2595678873324032</v>
      </c>
      <c r="AB53" s="24">
        <f t="shared" si="12"/>
        <v>4.6125176967944892</v>
      </c>
      <c r="AC53" s="24">
        <f t="shared" si="59"/>
        <v>29.836656285140101</v>
      </c>
      <c r="AD53" s="58">
        <f t="shared" si="60"/>
        <v>335</v>
      </c>
      <c r="AE53" s="58">
        <f t="shared" si="61"/>
        <v>341</v>
      </c>
      <c r="AF53" s="21">
        <f t="shared" si="16"/>
        <v>3.9939199999999997</v>
      </c>
      <c r="AG53" s="77">
        <f t="shared" si="17"/>
        <v>0</v>
      </c>
      <c r="AH53" s="114">
        <f t="shared" si="50"/>
        <v>0.98499999999999999</v>
      </c>
      <c r="AI53" s="59">
        <f t="shared" si="18"/>
        <v>88.501503495149265</v>
      </c>
      <c r="AJ53" s="59">
        <f t="shared" si="19"/>
        <v>84.81571119843727</v>
      </c>
      <c r="AK53" s="55"/>
      <c r="AL53" s="55"/>
      <c r="AM53" s="21">
        <f t="shared" si="81"/>
        <v>0</v>
      </c>
      <c r="AN53" s="64">
        <v>9.74</v>
      </c>
      <c r="AO53" s="55"/>
      <c r="AP53" s="21">
        <f t="shared" si="62"/>
        <v>0</v>
      </c>
      <c r="AQ53" s="55"/>
      <c r="AR53" s="55">
        <v>0</v>
      </c>
      <c r="AS53" s="21">
        <f t="shared" si="63"/>
        <v>0</v>
      </c>
      <c r="AT53" s="64"/>
      <c r="AU53" s="64"/>
      <c r="AV53" s="21">
        <f t="shared" si="64"/>
        <v>0</v>
      </c>
      <c r="AW53" s="64"/>
      <c r="AX53" s="64"/>
      <c r="AY53" s="21">
        <f t="shared" si="65"/>
        <v>0</v>
      </c>
      <c r="AZ53" s="64"/>
      <c r="BA53" s="64"/>
      <c r="BB53" s="21">
        <f t="shared" si="66"/>
        <v>0</v>
      </c>
      <c r="BC53" s="64"/>
      <c r="BD53" s="64">
        <v>0</v>
      </c>
      <c r="BE53" s="21">
        <f t="shared" si="67"/>
        <v>0</v>
      </c>
      <c r="BF53" s="55"/>
      <c r="BG53" s="55"/>
      <c r="BH53" s="21">
        <f t="shared" si="68"/>
        <v>0</v>
      </c>
      <c r="BI53" s="55"/>
      <c r="BJ53" s="55"/>
      <c r="BK53" s="21">
        <f t="shared" si="69"/>
        <v>0</v>
      </c>
      <c r="BL53" s="55">
        <v>0</v>
      </c>
      <c r="BM53" s="55">
        <v>0</v>
      </c>
      <c r="BN53" s="21">
        <f t="shared" si="52"/>
        <v>0</v>
      </c>
      <c r="BO53" s="55">
        <v>0</v>
      </c>
      <c r="BP53" s="55">
        <v>0</v>
      </c>
      <c r="BQ53" s="21">
        <f t="shared" si="53"/>
        <v>0</v>
      </c>
      <c r="BR53" s="55">
        <v>0</v>
      </c>
      <c r="BS53" s="21">
        <f t="shared" si="70"/>
        <v>0</v>
      </c>
      <c r="BT53" s="56">
        <v>7.08</v>
      </c>
      <c r="BU53" s="56">
        <v>1.49</v>
      </c>
      <c r="BV53" s="21">
        <f t="shared" si="82"/>
        <v>5.2746000000000004</v>
      </c>
      <c r="BW53" s="77">
        <f t="shared" si="33"/>
        <v>7.08</v>
      </c>
      <c r="BX53" s="56">
        <v>-0.04</v>
      </c>
      <c r="BY53" s="21">
        <f t="shared" si="83"/>
        <v>-0.1888</v>
      </c>
      <c r="BZ53" s="55">
        <v>6.76</v>
      </c>
      <c r="CA53" s="55">
        <v>-0.02</v>
      </c>
      <c r="CB53" s="21">
        <f t="shared" si="84"/>
        <v>-9.0133333333333329E-2</v>
      </c>
      <c r="CC53" s="64">
        <v>1.56</v>
      </c>
      <c r="CD53" s="64">
        <v>0.02</v>
      </c>
      <c r="CE53" s="21">
        <f t="shared" si="85"/>
        <v>2.0800000000000003E-2</v>
      </c>
      <c r="CF53" s="21"/>
      <c r="CG53" s="21"/>
      <c r="CH53" s="21">
        <f t="shared" si="37"/>
        <v>0</v>
      </c>
      <c r="CI53" s="25">
        <f t="shared" si="38"/>
        <v>5.016466666666668</v>
      </c>
      <c r="CJ53" s="54"/>
      <c r="CK53" s="21">
        <f t="shared" si="71"/>
        <v>0</v>
      </c>
      <c r="CL53" s="55">
        <v>885</v>
      </c>
      <c r="CM53" s="55" t="s">
        <v>199</v>
      </c>
      <c r="CN53" s="60">
        <v>42089</v>
      </c>
      <c r="CO53" s="55" t="s">
        <v>200</v>
      </c>
      <c r="CP53" s="55" t="s">
        <v>201</v>
      </c>
      <c r="CQ53" s="55" t="s">
        <v>195</v>
      </c>
      <c r="CR53" s="55" t="s">
        <v>202</v>
      </c>
      <c r="CS53" s="63"/>
      <c r="CT53" s="55"/>
      <c r="CU53" s="55"/>
      <c r="CV53" s="55"/>
      <c r="CW53" s="55"/>
      <c r="CX53" s="55"/>
      <c r="CY53" s="21">
        <f t="shared" si="72"/>
        <v>0</v>
      </c>
      <c r="CZ53" s="56">
        <v>4.4800000000000004</v>
      </c>
      <c r="DA53" s="56">
        <v>9.5399999999999991</v>
      </c>
      <c r="DB53" s="56">
        <v>8.2899999999999991</v>
      </c>
      <c r="DC53" s="56">
        <v>3.36</v>
      </c>
      <c r="DD53" s="61">
        <f t="shared" si="41"/>
        <v>0.74999999999999989</v>
      </c>
      <c r="DE53" s="21">
        <f t="shared" si="42"/>
        <v>26.626133333333332</v>
      </c>
      <c r="DF53" s="55">
        <v>18.829999999999998</v>
      </c>
      <c r="DG53" s="55"/>
      <c r="DH53" s="55"/>
      <c r="DI53" s="55"/>
      <c r="DJ53" s="104"/>
      <c r="DK53" s="50" t="s">
        <v>205</v>
      </c>
      <c r="DM53" s="58">
        <f t="shared" si="43"/>
        <v>1082.1240698277129</v>
      </c>
      <c r="DN53" s="58">
        <f t="shared" si="73"/>
        <v>1008.45</v>
      </c>
      <c r="DO53" s="21">
        <f t="shared" si="74"/>
        <v>0.93191716931364199</v>
      </c>
      <c r="DP53" s="62">
        <f t="shared" si="79"/>
        <v>1.0077864052694661</v>
      </c>
      <c r="DQ53" s="7">
        <v>0</v>
      </c>
      <c r="DR53" s="107" t="str">
        <f t="shared" si="47"/>
        <v>yes</v>
      </c>
    </row>
    <row r="54" spans="1:122" ht="12.75" customHeight="1" x14ac:dyDescent="0.2">
      <c r="A54" s="53" t="s">
        <v>206</v>
      </c>
      <c r="B54" s="54">
        <v>2</v>
      </c>
      <c r="C54" s="92">
        <f t="shared" si="75"/>
        <v>94.174231868944005</v>
      </c>
      <c r="D54" s="92">
        <f t="shared" si="76"/>
        <v>89.631387902057241</v>
      </c>
      <c r="E54" s="92">
        <f>VLOOKUP(A54,[3]TRTOTAL!$A$7:$D$313,3,FALSE)</f>
        <v>94.174231868944005</v>
      </c>
      <c r="F54" s="92">
        <f>VLOOKUP(A54,[3]TRTOTAL!$A$7:$D$313,4,FALSE)</f>
        <v>89.631387902057241</v>
      </c>
      <c r="G54" s="92">
        <f t="shared" si="48"/>
        <v>0</v>
      </c>
      <c r="H54" s="92">
        <f t="shared" si="49"/>
        <v>0</v>
      </c>
      <c r="I54" s="54">
        <v>6.09</v>
      </c>
      <c r="J54" s="56">
        <v>6.09</v>
      </c>
      <c r="K54" s="54">
        <v>3.02</v>
      </c>
      <c r="L54" s="57">
        <v>2</v>
      </c>
      <c r="M54" s="57"/>
      <c r="N54" s="57">
        <v>156</v>
      </c>
      <c r="O54" s="87"/>
      <c r="P54" s="24">
        <f t="shared" si="54"/>
        <v>19.227716666666666</v>
      </c>
      <c r="Q54" s="24">
        <f t="shared" si="51"/>
        <v>9.76</v>
      </c>
      <c r="R54" s="24">
        <f t="shared" si="77"/>
        <v>5.2670416666666675</v>
      </c>
      <c r="S54" s="87">
        <v>10.199999999999999</v>
      </c>
      <c r="T54" s="21">
        <f t="shared" si="55"/>
        <v>6.4154999999999998</v>
      </c>
      <c r="U54" s="21"/>
      <c r="V54" s="24">
        <f t="shared" si="78"/>
        <v>2.15</v>
      </c>
      <c r="W54" s="24">
        <f t="shared" si="56"/>
        <v>2.3249999999999997</v>
      </c>
      <c r="X54" s="24">
        <f t="shared" si="57"/>
        <v>3.5569830808956726</v>
      </c>
      <c r="Y54" s="25">
        <f t="shared" si="9"/>
        <v>1</v>
      </c>
      <c r="Z54" s="24">
        <f t="shared" si="10"/>
        <v>18.850681532063572</v>
      </c>
      <c r="AA54" s="21">
        <f t="shared" si="58"/>
        <v>2.0833992589955566</v>
      </c>
      <c r="AB54" s="24">
        <f t="shared" si="12"/>
        <v>4.726405750632984</v>
      </c>
      <c r="AC54" s="24">
        <f t="shared" si="59"/>
        <v>27.11175953511427</v>
      </c>
      <c r="AD54" s="58">
        <f t="shared" si="60"/>
        <v>300</v>
      </c>
      <c r="AE54" s="58">
        <f t="shared" si="61"/>
        <v>306</v>
      </c>
      <c r="AF54" s="21">
        <f t="shared" si="16"/>
        <v>4.1491050000000005</v>
      </c>
      <c r="AG54" s="77">
        <f t="shared" si="17"/>
        <v>0</v>
      </c>
      <c r="AH54" s="114">
        <f t="shared" si="50"/>
        <v>1</v>
      </c>
      <c r="AI54" s="59">
        <f t="shared" si="18"/>
        <v>91.198001031939555</v>
      </c>
      <c r="AJ54" s="59">
        <f t="shared" si="19"/>
        <v>86.798726617292559</v>
      </c>
      <c r="AK54" s="55">
        <v>9.76</v>
      </c>
      <c r="AL54" s="55">
        <v>2.15</v>
      </c>
      <c r="AM54" s="21">
        <f t="shared" si="81"/>
        <v>10.491999999999999</v>
      </c>
      <c r="AN54" s="54">
        <v>9.76</v>
      </c>
      <c r="AO54" s="55">
        <v>0.14000000000000001</v>
      </c>
      <c r="AP54" s="21">
        <f t="shared" si="62"/>
        <v>0.91093333333333337</v>
      </c>
      <c r="AQ54" s="55">
        <v>2.2000000000000002</v>
      </c>
      <c r="AR54" s="55">
        <v>0</v>
      </c>
      <c r="AS54" s="21">
        <f t="shared" si="63"/>
        <v>0</v>
      </c>
      <c r="AT54" s="54">
        <v>9.51</v>
      </c>
      <c r="AU54" s="54">
        <v>0.91</v>
      </c>
      <c r="AV54" s="21">
        <f t="shared" si="64"/>
        <v>4.3270499999999998</v>
      </c>
      <c r="AW54" s="54">
        <v>9.2899999999999991</v>
      </c>
      <c r="AX54" s="54">
        <v>0.24</v>
      </c>
      <c r="AY54" s="21">
        <f t="shared" si="65"/>
        <v>1.1147999999999998</v>
      </c>
      <c r="AZ54" s="54">
        <v>7.72</v>
      </c>
      <c r="BA54" s="54">
        <v>0.11</v>
      </c>
      <c r="BB54" s="21">
        <f t="shared" si="66"/>
        <v>0.56613333333333327</v>
      </c>
      <c r="BC54" s="54"/>
      <c r="BD54" s="54"/>
      <c r="BE54" s="21">
        <f t="shared" si="67"/>
        <v>0</v>
      </c>
      <c r="BF54" s="55">
        <v>1.59</v>
      </c>
      <c r="BG54" s="55">
        <v>0.04</v>
      </c>
      <c r="BH54" s="21">
        <f t="shared" si="68"/>
        <v>3.1800000000000002E-2</v>
      </c>
      <c r="BI54" s="55"/>
      <c r="BJ54" s="55"/>
      <c r="BK54" s="21">
        <f t="shared" si="69"/>
        <v>0</v>
      </c>
      <c r="BL54" s="55"/>
      <c r="BM54" s="55"/>
      <c r="BN54" s="21">
        <f t="shared" si="52"/>
        <v>0</v>
      </c>
      <c r="BO54" s="55"/>
      <c r="BP54" s="55"/>
      <c r="BQ54" s="21">
        <f t="shared" si="53"/>
        <v>0</v>
      </c>
      <c r="BR54" s="55"/>
      <c r="BS54" s="21">
        <f t="shared" si="70"/>
        <v>17.442716666666666</v>
      </c>
      <c r="BT54" s="56">
        <v>6.8250000000000002</v>
      </c>
      <c r="BU54" s="56">
        <v>1.59</v>
      </c>
      <c r="BV54" s="21">
        <f t="shared" si="82"/>
        <v>5.4258750000000004</v>
      </c>
      <c r="BW54" s="77">
        <f t="shared" si="33"/>
        <v>6.8250000000000002</v>
      </c>
      <c r="BX54" s="55">
        <v>-0.01</v>
      </c>
      <c r="BY54" s="21">
        <f t="shared" si="83"/>
        <v>-4.5500000000000006E-2</v>
      </c>
      <c r="BZ54" s="55">
        <v>1.61</v>
      </c>
      <c r="CA54" s="55">
        <v>0.02</v>
      </c>
      <c r="CB54" s="21">
        <f t="shared" si="84"/>
        <v>2.1466666666666665E-2</v>
      </c>
      <c r="CC54" s="55">
        <v>6.74</v>
      </c>
      <c r="CD54" s="55">
        <v>-0.03</v>
      </c>
      <c r="CE54" s="21">
        <f t="shared" si="85"/>
        <v>-0.1348</v>
      </c>
      <c r="CF54" s="21"/>
      <c r="CG54" s="21"/>
      <c r="CH54" s="21">
        <f t="shared" si="37"/>
        <v>0</v>
      </c>
      <c r="CI54" s="25">
        <f t="shared" si="38"/>
        <v>5.2670416666666675</v>
      </c>
      <c r="CJ54" s="54">
        <v>0.35</v>
      </c>
      <c r="CK54" s="21">
        <f t="shared" si="71"/>
        <v>1.7849999999999997</v>
      </c>
      <c r="CL54" s="55">
        <v>39</v>
      </c>
      <c r="CM54" s="55" t="s">
        <v>207</v>
      </c>
      <c r="CN54" s="60">
        <v>39605</v>
      </c>
      <c r="CO54" s="55" t="s">
        <v>164</v>
      </c>
      <c r="CP54" s="55" t="s">
        <v>208</v>
      </c>
      <c r="CQ54" s="55" t="s">
        <v>209</v>
      </c>
      <c r="CR54" s="55" t="s">
        <v>210</v>
      </c>
      <c r="CS54" s="55"/>
      <c r="CT54" s="55"/>
      <c r="CU54" s="55"/>
      <c r="CV54" s="55"/>
      <c r="CW54" s="55"/>
      <c r="CX54" s="55"/>
      <c r="CY54" s="21">
        <f t="shared" si="72"/>
        <v>0</v>
      </c>
      <c r="CZ54" s="56">
        <v>4.42</v>
      </c>
      <c r="DA54" s="56">
        <v>9.76</v>
      </c>
      <c r="DB54" s="56">
        <v>8.66</v>
      </c>
      <c r="DC54" s="56">
        <v>3.4</v>
      </c>
      <c r="DD54" s="61">
        <f t="shared" si="41"/>
        <v>0.76923076923076927</v>
      </c>
      <c r="DE54" s="21">
        <f t="shared" si="42"/>
        <v>27.660700000000002</v>
      </c>
      <c r="DF54" s="55"/>
      <c r="DG54" s="55"/>
      <c r="DH54" s="55"/>
      <c r="DI54" s="55"/>
      <c r="DJ54" s="104"/>
      <c r="DK54" s="53"/>
      <c r="DM54" s="58">
        <f t="shared" si="43"/>
        <v>1110.7215172176197</v>
      </c>
      <c r="DN54" s="58">
        <f t="shared" si="73"/>
        <v>829.5</v>
      </c>
      <c r="DO54" s="21">
        <f t="shared" si="74"/>
        <v>0.7468118580055193</v>
      </c>
      <c r="DP54" s="62">
        <f t="shared" si="79"/>
        <v>1.0326348253616009</v>
      </c>
      <c r="DQ54" s="7">
        <v>0</v>
      </c>
      <c r="DR54" s="107">
        <f t="shared" si="47"/>
        <v>0</v>
      </c>
    </row>
    <row r="55" spans="1:122" ht="12.75" customHeight="1" x14ac:dyDescent="0.2">
      <c r="A55" s="53" t="s">
        <v>211</v>
      </c>
      <c r="B55" s="54">
        <v>2</v>
      </c>
      <c r="C55" s="92">
        <f t="shared" si="75"/>
        <v>101.67734040697485</v>
      </c>
      <c r="D55" s="92">
        <f t="shared" si="76"/>
        <v>96.480909824886226</v>
      </c>
      <c r="E55" s="92">
        <f>VLOOKUP(A55,[3]TRTOTAL!$A$7:$D$313,3,FALSE)</f>
        <v>101.67734040697485</v>
      </c>
      <c r="F55" s="92">
        <f>VLOOKUP(A55,[3]TRTOTAL!$A$7:$D$313,4,FALSE)</f>
        <v>96.480909824886226</v>
      </c>
      <c r="G55" s="92">
        <f t="shared" si="48"/>
        <v>0</v>
      </c>
      <c r="H55" s="92">
        <f t="shared" si="49"/>
        <v>0</v>
      </c>
      <c r="I55" s="54">
        <v>6.1</v>
      </c>
      <c r="J55" s="56">
        <v>6.1</v>
      </c>
      <c r="K55" s="54">
        <v>3</v>
      </c>
      <c r="L55" s="57">
        <v>2</v>
      </c>
      <c r="M55" s="57">
        <v>208</v>
      </c>
      <c r="N55" s="57"/>
      <c r="O55" s="87"/>
      <c r="P55" s="24">
        <f t="shared" si="54"/>
        <v>17.816784166666668</v>
      </c>
      <c r="Q55" s="24">
        <f t="shared" si="51"/>
        <v>8.9700000000000006</v>
      </c>
      <c r="R55" s="24">
        <f t="shared" si="77"/>
        <v>5.2230666666666661</v>
      </c>
      <c r="S55" s="87">
        <v>9.4</v>
      </c>
      <c r="T55" s="21">
        <f t="shared" si="55"/>
        <v>6.0347999999999997</v>
      </c>
      <c r="U55" s="21"/>
      <c r="V55" s="24">
        <f t="shared" si="78"/>
        <v>2.2999999999999998</v>
      </c>
      <c r="W55" s="24">
        <f t="shared" si="56"/>
        <v>2.4579999999999997</v>
      </c>
      <c r="X55" s="24">
        <f t="shared" si="57"/>
        <v>2.9489374571179332</v>
      </c>
      <c r="Y55" s="25">
        <f t="shared" si="9"/>
        <v>1</v>
      </c>
      <c r="Z55" s="24">
        <f t="shared" si="10"/>
        <v>16.512156274701177</v>
      </c>
      <c r="AA55" s="21">
        <f t="shared" si="58"/>
        <v>1.9419492365655364</v>
      </c>
      <c r="AB55" s="24">
        <f t="shared" si="12"/>
        <v>4.5891201414616631</v>
      </c>
      <c r="AC55" s="24">
        <f t="shared" si="59"/>
        <v>24.385440797772823</v>
      </c>
      <c r="AD55" s="58">
        <f t="shared" si="60"/>
        <v>358</v>
      </c>
      <c r="AE55" s="58">
        <f t="shared" si="61"/>
        <v>364</v>
      </c>
      <c r="AF55" s="21">
        <f t="shared" si="16"/>
        <v>3.8807500000000004</v>
      </c>
      <c r="AG55" s="77">
        <f t="shared" si="17"/>
        <v>0</v>
      </c>
      <c r="AH55" s="114">
        <f t="shared" si="50"/>
        <v>1</v>
      </c>
      <c r="AI55" s="59">
        <f t="shared" si="18"/>
        <v>100.92336030267158</v>
      </c>
      <c r="AJ55" s="59">
        <f t="shared" si="19"/>
        <v>95.765463431797343</v>
      </c>
      <c r="AK55" s="55">
        <v>8.9700000000000006</v>
      </c>
      <c r="AL55" s="55">
        <v>2.2999999999999998</v>
      </c>
      <c r="AM55" s="21">
        <f t="shared" si="81"/>
        <v>10.3155</v>
      </c>
      <c r="AN55" s="54">
        <v>8.9700000000000006</v>
      </c>
      <c r="AO55" s="55">
        <v>0.16800000000000001</v>
      </c>
      <c r="AP55" s="21">
        <f t="shared" si="62"/>
        <v>1.0046400000000002</v>
      </c>
      <c r="AQ55" s="55"/>
      <c r="AR55" s="55">
        <v>0</v>
      </c>
      <c r="AS55" s="21">
        <f t="shared" si="63"/>
        <v>0</v>
      </c>
      <c r="AT55" s="54">
        <v>8.6750000000000007</v>
      </c>
      <c r="AU55" s="54">
        <v>0.84499999999999997</v>
      </c>
      <c r="AV55" s="21">
        <f t="shared" si="64"/>
        <v>3.6651875</v>
      </c>
      <c r="AW55" s="54">
        <v>2.06</v>
      </c>
      <c r="AX55" s="54">
        <v>0.64</v>
      </c>
      <c r="AY55" s="21">
        <f t="shared" si="65"/>
        <v>0.65920000000000001</v>
      </c>
      <c r="AZ55" s="54">
        <v>6.8449999999999998</v>
      </c>
      <c r="BA55" s="54">
        <v>0.14499999999999999</v>
      </c>
      <c r="BB55" s="21">
        <f t="shared" si="66"/>
        <v>0.66168333333333329</v>
      </c>
      <c r="BC55" s="54">
        <v>1.73</v>
      </c>
      <c r="BD55" s="54">
        <v>2.1999999999999999E-2</v>
      </c>
      <c r="BE55" s="21">
        <f t="shared" si="67"/>
        <v>2.5373333333333331E-2</v>
      </c>
      <c r="BF55" s="55"/>
      <c r="BG55" s="55"/>
      <c r="BH55" s="21">
        <f t="shared" si="68"/>
        <v>0</v>
      </c>
      <c r="BI55" s="55"/>
      <c r="BJ55" s="55"/>
      <c r="BK55" s="21">
        <f t="shared" si="69"/>
        <v>0</v>
      </c>
      <c r="BL55" s="55"/>
      <c r="BM55" s="55"/>
      <c r="BN55" s="21">
        <f t="shared" si="52"/>
        <v>0</v>
      </c>
      <c r="BO55" s="55"/>
      <c r="BP55" s="55"/>
      <c r="BQ55" s="21">
        <f t="shared" si="53"/>
        <v>0</v>
      </c>
      <c r="BR55" s="55"/>
      <c r="BS55" s="21">
        <f t="shared" si="70"/>
        <v>16.331584166666669</v>
      </c>
      <c r="BT55" s="56">
        <v>6.42</v>
      </c>
      <c r="BU55" s="56">
        <v>1.64</v>
      </c>
      <c r="BV55" s="21">
        <f t="shared" si="82"/>
        <v>5.2643999999999993</v>
      </c>
      <c r="BW55" s="77">
        <f t="shared" si="33"/>
        <v>6.42</v>
      </c>
      <c r="BX55" s="55">
        <v>-0.01</v>
      </c>
      <c r="BY55" s="21">
        <f t="shared" si="83"/>
        <v>-4.2800000000000005E-2</v>
      </c>
      <c r="BZ55" s="55">
        <v>5.91</v>
      </c>
      <c r="CA55" s="55">
        <v>-0.02</v>
      </c>
      <c r="CB55" s="21">
        <f t="shared" si="84"/>
        <v>-7.8799999999999995E-2</v>
      </c>
      <c r="CC55" s="55">
        <v>1.72</v>
      </c>
      <c r="CD55" s="55">
        <v>7.0000000000000007E-2</v>
      </c>
      <c r="CE55" s="21">
        <f t="shared" si="85"/>
        <v>8.0266666666666667E-2</v>
      </c>
      <c r="CF55" s="21"/>
      <c r="CG55" s="21"/>
      <c r="CH55" s="21">
        <f t="shared" si="37"/>
        <v>0</v>
      </c>
      <c r="CI55" s="25">
        <f t="shared" si="38"/>
        <v>5.2230666666666661</v>
      </c>
      <c r="CJ55" s="54">
        <v>0.316</v>
      </c>
      <c r="CK55" s="21">
        <f t="shared" si="71"/>
        <v>1.4852000000000001</v>
      </c>
      <c r="CL55" s="55">
        <v>444</v>
      </c>
      <c r="CM55" s="55"/>
      <c r="CN55" s="60">
        <v>38618</v>
      </c>
      <c r="CO55" s="55" t="s">
        <v>212</v>
      </c>
      <c r="CP55" s="55"/>
      <c r="CQ55" s="55"/>
      <c r="CR55" s="55"/>
      <c r="CS55" s="55"/>
      <c r="CT55" s="55"/>
      <c r="CU55" s="55"/>
      <c r="CV55" s="55"/>
      <c r="CW55" s="55"/>
      <c r="CX55" s="55"/>
      <c r="CY55" s="21">
        <f t="shared" si="72"/>
        <v>0</v>
      </c>
      <c r="CZ55" s="56">
        <v>4.25</v>
      </c>
      <c r="DA55" s="56">
        <v>9.15</v>
      </c>
      <c r="DB55" s="56">
        <v>8.0500000000000007</v>
      </c>
      <c r="DC55" s="56">
        <v>3.45</v>
      </c>
      <c r="DD55" s="61">
        <f t="shared" si="41"/>
        <v>0.81176470588235294</v>
      </c>
      <c r="DE55" s="21">
        <f t="shared" si="42"/>
        <v>25.87166666666667</v>
      </c>
      <c r="DF55" s="55"/>
      <c r="DG55" s="55"/>
      <c r="DH55" s="55"/>
      <c r="DI55" s="55"/>
      <c r="DJ55" s="104"/>
      <c r="DK55" s="53"/>
      <c r="DM55" s="58">
        <f t="shared" si="43"/>
        <v>975.84531204670088</v>
      </c>
      <c r="DN55" s="58">
        <f t="shared" si="73"/>
        <v>912</v>
      </c>
      <c r="DO55" s="21">
        <f t="shared" si="74"/>
        <v>0.9345743518377988</v>
      </c>
      <c r="DP55" s="62">
        <f t="shared" si="79"/>
        <v>1.0074708184709869</v>
      </c>
      <c r="DQ55" s="7">
        <v>0</v>
      </c>
      <c r="DR55" s="107">
        <f t="shared" si="47"/>
        <v>0</v>
      </c>
    </row>
    <row r="56" spans="1:122" ht="12.75" customHeight="1" x14ac:dyDescent="0.2">
      <c r="A56" s="53" t="s">
        <v>213</v>
      </c>
      <c r="B56" s="54">
        <v>2</v>
      </c>
      <c r="C56" s="92">
        <f t="shared" si="75"/>
        <v>98.32573206661425</v>
      </c>
      <c r="D56" s="92">
        <f t="shared" si="76"/>
        <v>93.368770629175145</v>
      </c>
      <c r="E56" s="92">
        <f>VLOOKUP(A56,[3]TRTOTAL!$A$7:$D$313,3,FALSE)</f>
        <v>98.32573206661425</v>
      </c>
      <c r="F56" s="92">
        <f>VLOOKUP(A56,[3]TRTOTAL!$A$7:$D$313,4,FALSE)</f>
        <v>93.368770629175145</v>
      </c>
      <c r="G56" s="92">
        <f t="shared" si="48"/>
        <v>0</v>
      </c>
      <c r="H56" s="92">
        <f t="shared" si="49"/>
        <v>0</v>
      </c>
      <c r="I56" s="54">
        <v>6.1</v>
      </c>
      <c r="J56" s="56">
        <v>6.1</v>
      </c>
      <c r="K56" s="54">
        <v>3</v>
      </c>
      <c r="L56" s="57">
        <v>2</v>
      </c>
      <c r="M56" s="57"/>
      <c r="N56" s="57">
        <v>171</v>
      </c>
      <c r="O56" s="87"/>
      <c r="P56" s="24">
        <f t="shared" si="54"/>
        <v>17.816784166666668</v>
      </c>
      <c r="Q56" s="24">
        <f t="shared" si="51"/>
        <v>8.9700000000000006</v>
      </c>
      <c r="R56" s="24">
        <f t="shared" si="77"/>
        <v>5.2230666666666661</v>
      </c>
      <c r="S56" s="87">
        <v>9.4</v>
      </c>
      <c r="T56" s="21">
        <f t="shared" si="55"/>
        <v>6.0347999999999997</v>
      </c>
      <c r="U56" s="21"/>
      <c r="V56" s="24">
        <f t="shared" si="78"/>
        <v>2.2999999999999998</v>
      </c>
      <c r="W56" s="24">
        <f t="shared" si="56"/>
        <v>2.4579999999999997</v>
      </c>
      <c r="X56" s="24">
        <f t="shared" si="57"/>
        <v>2.9489374571179332</v>
      </c>
      <c r="Y56" s="25">
        <f t="shared" si="9"/>
        <v>1</v>
      </c>
      <c r="Z56" s="24">
        <f t="shared" si="10"/>
        <v>16.512156274701177</v>
      </c>
      <c r="AA56" s="21">
        <f t="shared" si="58"/>
        <v>1.9419492365655364</v>
      </c>
      <c r="AB56" s="24">
        <f t="shared" si="12"/>
        <v>4.5891201414616631</v>
      </c>
      <c r="AC56" s="24">
        <f t="shared" si="59"/>
        <v>24.385440797772823</v>
      </c>
      <c r="AD56" s="58">
        <f t="shared" si="60"/>
        <v>315</v>
      </c>
      <c r="AE56" s="58">
        <f t="shared" si="61"/>
        <v>321</v>
      </c>
      <c r="AF56" s="21">
        <f t="shared" si="16"/>
        <v>3.8807500000000004</v>
      </c>
      <c r="AG56" s="77">
        <f t="shared" si="17"/>
        <v>0</v>
      </c>
      <c r="AH56" s="114">
        <f t="shared" si="50"/>
        <v>1</v>
      </c>
      <c r="AI56" s="59">
        <f t="shared" si="18"/>
        <v>96.812324651098479</v>
      </c>
      <c r="AJ56" s="59">
        <f t="shared" si="19"/>
        <v>91.931659642276486</v>
      </c>
      <c r="AK56" s="55">
        <v>8.9700000000000006</v>
      </c>
      <c r="AL56" s="55">
        <v>2.2999999999999998</v>
      </c>
      <c r="AM56" s="21">
        <f t="shared" si="81"/>
        <v>10.3155</v>
      </c>
      <c r="AN56" s="54">
        <v>8.9700000000000006</v>
      </c>
      <c r="AO56" s="55">
        <v>0.16800000000000001</v>
      </c>
      <c r="AP56" s="21">
        <f t="shared" si="62"/>
        <v>1.0046400000000002</v>
      </c>
      <c r="AQ56" s="55"/>
      <c r="AR56" s="55">
        <v>0</v>
      </c>
      <c r="AS56" s="21">
        <f t="shared" si="63"/>
        <v>0</v>
      </c>
      <c r="AT56" s="54">
        <v>8.6750000000000007</v>
      </c>
      <c r="AU56" s="54">
        <v>0.84499999999999997</v>
      </c>
      <c r="AV56" s="21">
        <f t="shared" si="64"/>
        <v>3.6651875</v>
      </c>
      <c r="AW56" s="54">
        <v>2.06</v>
      </c>
      <c r="AX56" s="54">
        <v>0.64</v>
      </c>
      <c r="AY56" s="21">
        <f t="shared" si="65"/>
        <v>0.65920000000000001</v>
      </c>
      <c r="AZ56" s="54">
        <v>6.8449999999999998</v>
      </c>
      <c r="BA56" s="54">
        <v>0.14499999999999999</v>
      </c>
      <c r="BB56" s="21">
        <f t="shared" si="66"/>
        <v>0.66168333333333329</v>
      </c>
      <c r="BC56" s="54">
        <v>1.73</v>
      </c>
      <c r="BD56" s="54">
        <v>2.1999999999999999E-2</v>
      </c>
      <c r="BE56" s="21">
        <f t="shared" si="67"/>
        <v>2.5373333333333331E-2</v>
      </c>
      <c r="BF56" s="55"/>
      <c r="BG56" s="55"/>
      <c r="BH56" s="21">
        <f t="shared" si="68"/>
        <v>0</v>
      </c>
      <c r="BI56" s="55"/>
      <c r="BJ56" s="55"/>
      <c r="BK56" s="21">
        <f t="shared" si="69"/>
        <v>0</v>
      </c>
      <c r="BL56" s="55"/>
      <c r="BM56" s="55"/>
      <c r="BN56" s="21">
        <f t="shared" si="52"/>
        <v>0</v>
      </c>
      <c r="BO56" s="55"/>
      <c r="BP56" s="55"/>
      <c r="BQ56" s="21">
        <f t="shared" si="53"/>
        <v>0</v>
      </c>
      <c r="BR56" s="55"/>
      <c r="BS56" s="21">
        <f t="shared" si="70"/>
        <v>16.331584166666669</v>
      </c>
      <c r="BT56" s="56">
        <v>6.42</v>
      </c>
      <c r="BU56" s="56">
        <v>1.64</v>
      </c>
      <c r="BV56" s="21">
        <f t="shared" si="82"/>
        <v>5.2643999999999993</v>
      </c>
      <c r="BW56" s="77">
        <f t="shared" si="33"/>
        <v>6.42</v>
      </c>
      <c r="BX56" s="55">
        <v>-0.01</v>
      </c>
      <c r="BY56" s="21">
        <f t="shared" si="83"/>
        <v>-4.2800000000000005E-2</v>
      </c>
      <c r="BZ56" s="55">
        <v>5.91</v>
      </c>
      <c r="CA56" s="55">
        <v>-0.02</v>
      </c>
      <c r="CB56" s="21">
        <f t="shared" si="84"/>
        <v>-7.8799999999999995E-2</v>
      </c>
      <c r="CC56" s="55">
        <v>1.72</v>
      </c>
      <c r="CD56" s="55">
        <v>7.0000000000000007E-2</v>
      </c>
      <c r="CE56" s="21">
        <f t="shared" si="85"/>
        <v>8.0266666666666667E-2</v>
      </c>
      <c r="CF56" s="21"/>
      <c r="CG56" s="21"/>
      <c r="CH56" s="21">
        <f t="shared" si="37"/>
        <v>0</v>
      </c>
      <c r="CI56" s="25">
        <f t="shared" si="38"/>
        <v>5.2230666666666661</v>
      </c>
      <c r="CJ56" s="54">
        <v>0.316</v>
      </c>
      <c r="CK56" s="21">
        <f t="shared" si="71"/>
        <v>1.4852000000000001</v>
      </c>
      <c r="CL56" s="55">
        <v>444</v>
      </c>
      <c r="CM56" s="55"/>
      <c r="CN56" s="60">
        <v>38618</v>
      </c>
      <c r="CO56" s="55" t="s">
        <v>212</v>
      </c>
      <c r="CP56" s="55"/>
      <c r="CQ56" s="55"/>
      <c r="CR56" s="55"/>
      <c r="CS56" s="55"/>
      <c r="CT56" s="55"/>
      <c r="CU56" s="55"/>
      <c r="CV56" s="55"/>
      <c r="CW56" s="55"/>
      <c r="CX56" s="55"/>
      <c r="CY56" s="21">
        <f t="shared" si="72"/>
        <v>0</v>
      </c>
      <c r="CZ56" s="56">
        <v>4.25</v>
      </c>
      <c r="DA56" s="56">
        <v>9.15</v>
      </c>
      <c r="DB56" s="56">
        <v>8.0500000000000007</v>
      </c>
      <c r="DC56" s="56">
        <v>3.45</v>
      </c>
      <c r="DD56" s="61">
        <f t="shared" si="41"/>
        <v>0.81176470588235294</v>
      </c>
      <c r="DE56" s="21">
        <f t="shared" si="42"/>
        <v>25.87166666666667</v>
      </c>
      <c r="DF56" s="55"/>
      <c r="DG56" s="55"/>
      <c r="DH56" s="55"/>
      <c r="DI56" s="55"/>
      <c r="DJ56" s="104"/>
      <c r="DK56" s="53" t="s">
        <v>214</v>
      </c>
      <c r="DM56" s="58">
        <f t="shared" si="43"/>
        <v>975.84531204670088</v>
      </c>
      <c r="DN56" s="58">
        <f t="shared" si="73"/>
        <v>847.5</v>
      </c>
      <c r="DO56" s="21">
        <f t="shared" si="74"/>
        <v>0.86847781050716499</v>
      </c>
      <c r="DP56" s="62">
        <f t="shared" si="79"/>
        <v>1.0156323837999959</v>
      </c>
      <c r="DQ56" s="7">
        <v>0</v>
      </c>
      <c r="DR56" s="107">
        <f t="shared" si="47"/>
        <v>0</v>
      </c>
    </row>
    <row r="57" spans="1:122" ht="12.75" customHeight="1" x14ac:dyDescent="0.2">
      <c r="A57" s="53" t="s">
        <v>215</v>
      </c>
      <c r="B57" s="54">
        <v>2</v>
      </c>
      <c r="C57" s="92">
        <f t="shared" si="75"/>
        <v>104.34078404911891</v>
      </c>
      <c r="D57" s="92">
        <f t="shared" si="76"/>
        <v>99.922063253373238</v>
      </c>
      <c r="E57" s="92">
        <f>VLOOKUP(A57,[3]TRTOTAL!$A$7:$D$313,3,FALSE)</f>
        <v>104.91742812487391</v>
      </c>
      <c r="F57" s="92">
        <f>VLOOKUP(A57,[3]TRTOTAL!$A$7:$D$313,4,FALSE)</f>
        <v>100.33161247468</v>
      </c>
      <c r="G57" s="92">
        <f t="shared" si="48"/>
        <v>-0.57664407575499865</v>
      </c>
      <c r="H57" s="92">
        <f t="shared" si="49"/>
        <v>-0.40954922130676152</v>
      </c>
      <c r="I57" s="54">
        <v>5.52</v>
      </c>
      <c r="J57" s="56">
        <v>5.52</v>
      </c>
      <c r="K57" s="54">
        <v>2.6</v>
      </c>
      <c r="L57" s="57">
        <v>2</v>
      </c>
      <c r="M57" s="57"/>
      <c r="N57" s="57">
        <v>180</v>
      </c>
      <c r="O57" s="87"/>
      <c r="P57" s="24">
        <f t="shared" si="54"/>
        <v>17</v>
      </c>
      <c r="Q57" s="24">
        <f t="shared" si="51"/>
        <v>9.0500000000000007</v>
      </c>
      <c r="R57" s="24">
        <f t="shared" si="77"/>
        <v>4.3</v>
      </c>
      <c r="S57" s="87">
        <v>9.0500000000000007</v>
      </c>
      <c r="T57" s="21">
        <f t="shared" si="55"/>
        <v>5.5</v>
      </c>
      <c r="U57" s="21">
        <v>2.1</v>
      </c>
      <c r="V57" s="24">
        <f t="shared" si="78"/>
        <v>2.1</v>
      </c>
      <c r="W57" s="24">
        <f t="shared" si="56"/>
        <v>2.2600000000000002</v>
      </c>
      <c r="X57" s="24">
        <f t="shared" si="57"/>
        <v>3.3283734043386315</v>
      </c>
      <c r="Y57" s="25">
        <f t="shared" si="9"/>
        <v>1</v>
      </c>
      <c r="Z57" s="24">
        <f t="shared" si="10"/>
        <v>16.337791034816128</v>
      </c>
      <c r="AA57" s="21">
        <f t="shared" si="58"/>
        <v>0</v>
      </c>
      <c r="AB57" s="24">
        <f t="shared" si="12"/>
        <v>3.87</v>
      </c>
      <c r="AC57" s="24">
        <f t="shared" si="59"/>
        <v>22.854691034816128</v>
      </c>
      <c r="AD57" s="58">
        <f t="shared" si="60"/>
        <v>324</v>
      </c>
      <c r="AE57" s="58">
        <f t="shared" si="61"/>
        <v>330</v>
      </c>
      <c r="AF57" s="21">
        <f t="shared" si="16"/>
        <v>3.15</v>
      </c>
      <c r="AG57" s="77">
        <f t="shared" si="17"/>
        <v>0</v>
      </c>
      <c r="AH57" s="114">
        <f t="shared" si="50"/>
        <v>1</v>
      </c>
      <c r="AI57" s="59">
        <f t="shared" si="18"/>
        <v>102.43303194979761</v>
      </c>
      <c r="AJ57" s="59">
        <f t="shared" si="19"/>
        <v>98.095102418476685</v>
      </c>
      <c r="AK57" s="55"/>
      <c r="AL57" s="55"/>
      <c r="AM57" s="21">
        <f t="shared" si="81"/>
        <v>0</v>
      </c>
      <c r="AN57" s="54">
        <v>9.0500000000000007</v>
      </c>
      <c r="AO57" s="55"/>
      <c r="AP57" s="21">
        <f t="shared" si="62"/>
        <v>0</v>
      </c>
      <c r="AQ57" s="55"/>
      <c r="AR57" s="55"/>
      <c r="AS57" s="21">
        <f t="shared" si="63"/>
        <v>0</v>
      </c>
      <c r="AT57" s="54"/>
      <c r="AU57" s="54"/>
      <c r="AV57" s="21">
        <f t="shared" si="64"/>
        <v>0</v>
      </c>
      <c r="AW57" s="54"/>
      <c r="AX57" s="54"/>
      <c r="AY57" s="21">
        <f t="shared" si="65"/>
        <v>0</v>
      </c>
      <c r="AZ57" s="54"/>
      <c r="BA57" s="54"/>
      <c r="BB57" s="21">
        <f t="shared" si="66"/>
        <v>0</v>
      </c>
      <c r="BC57" s="54"/>
      <c r="BD57" s="54"/>
      <c r="BE57" s="21">
        <f t="shared" si="67"/>
        <v>0</v>
      </c>
      <c r="BF57" s="55"/>
      <c r="BG57" s="55"/>
      <c r="BH57" s="21">
        <f t="shared" si="68"/>
        <v>0</v>
      </c>
      <c r="BI57" s="55"/>
      <c r="BJ57" s="55"/>
      <c r="BK57" s="21">
        <f t="shared" si="69"/>
        <v>0</v>
      </c>
      <c r="BL57" s="55"/>
      <c r="BM57" s="55"/>
      <c r="BN57" s="21">
        <f t="shared" si="52"/>
        <v>0</v>
      </c>
      <c r="BO57" s="55"/>
      <c r="BP57" s="55"/>
      <c r="BQ57" s="21">
        <f t="shared" si="53"/>
        <v>0</v>
      </c>
      <c r="BR57" s="55"/>
      <c r="BS57" s="21">
        <f t="shared" si="70"/>
        <v>0</v>
      </c>
      <c r="BT57" s="56">
        <v>0</v>
      </c>
      <c r="BU57" s="56"/>
      <c r="BV57" s="21">
        <f t="shared" si="82"/>
        <v>0</v>
      </c>
      <c r="BW57" s="77">
        <f t="shared" si="33"/>
        <v>0</v>
      </c>
      <c r="BX57" s="55"/>
      <c r="BY57" s="21">
        <f t="shared" si="83"/>
        <v>0</v>
      </c>
      <c r="BZ57" s="55"/>
      <c r="CA57" s="55"/>
      <c r="CB57" s="21">
        <f t="shared" si="84"/>
        <v>0</v>
      </c>
      <c r="CC57" s="55"/>
      <c r="CD57" s="55"/>
      <c r="CE57" s="21">
        <f t="shared" si="85"/>
        <v>0</v>
      </c>
      <c r="CF57" s="21"/>
      <c r="CG57" s="21"/>
      <c r="CH57" s="21">
        <f t="shared" si="37"/>
        <v>0</v>
      </c>
      <c r="CI57" s="25">
        <f t="shared" si="38"/>
        <v>4.3</v>
      </c>
      <c r="CJ57" s="54"/>
      <c r="CK57" s="21">
        <f t="shared" si="71"/>
        <v>0</v>
      </c>
      <c r="CL57" s="55"/>
      <c r="CM57" s="55"/>
      <c r="CN57" s="60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21">
        <f t="shared" si="72"/>
        <v>0</v>
      </c>
      <c r="CZ57" s="56"/>
      <c r="DA57" s="56"/>
      <c r="DB57" s="56"/>
      <c r="DC57" s="56"/>
      <c r="DD57" s="61">
        <f t="shared" si="41"/>
        <v>0</v>
      </c>
      <c r="DE57" s="21">
        <f t="shared" si="42"/>
        <v>0</v>
      </c>
      <c r="DF57" s="55">
        <v>17</v>
      </c>
      <c r="DG57" s="55">
        <v>4.3</v>
      </c>
      <c r="DH57" s="55">
        <v>5.5</v>
      </c>
      <c r="DI57" s="55"/>
      <c r="DJ57" s="104"/>
      <c r="DK57" s="53" t="s">
        <v>129</v>
      </c>
      <c r="DM57" s="58">
        <f t="shared" si="43"/>
        <v>906.14419392000002</v>
      </c>
      <c r="DN57" s="58">
        <f t="shared" si="73"/>
        <v>766.2</v>
      </c>
      <c r="DO57" s="21">
        <f t="shared" si="74"/>
        <v>0.8455607894869378</v>
      </c>
      <c r="DP57" s="62">
        <f t="shared" si="79"/>
        <v>1.0186243837852647</v>
      </c>
      <c r="DQ57" s="7">
        <v>0</v>
      </c>
      <c r="DR57" s="107" t="str">
        <f t="shared" si="47"/>
        <v>yes</v>
      </c>
    </row>
    <row r="58" spans="1:122" ht="16.5" customHeight="1" x14ac:dyDescent="0.2">
      <c r="A58" s="53" t="s">
        <v>216</v>
      </c>
      <c r="B58" s="54">
        <v>2</v>
      </c>
      <c r="C58" s="92">
        <f t="shared" si="75"/>
        <v>92.779114209357544</v>
      </c>
      <c r="D58" s="92">
        <f t="shared" si="76"/>
        <v>87.201445465638244</v>
      </c>
      <c r="E58" s="92">
        <f>VLOOKUP(A58,[3]TRTOTAL!$A$7:$D$313,3,FALSE)</f>
        <v>92.779114209357544</v>
      </c>
      <c r="F58" s="92">
        <f>VLOOKUP(A58,[3]TRTOTAL!$A$7:$D$313,4,FALSE)</f>
        <v>87.201445465638244</v>
      </c>
      <c r="G58" s="92">
        <f t="shared" si="48"/>
        <v>0</v>
      </c>
      <c r="H58" s="92">
        <f t="shared" si="49"/>
        <v>0</v>
      </c>
      <c r="I58" s="54">
        <v>6.07</v>
      </c>
      <c r="J58" s="56">
        <v>6.06</v>
      </c>
      <c r="K58" s="54">
        <v>2.92</v>
      </c>
      <c r="L58" s="58">
        <v>2</v>
      </c>
      <c r="M58" s="57"/>
      <c r="N58" s="57">
        <v>135.69999999999999</v>
      </c>
      <c r="O58" s="87"/>
      <c r="P58" s="24">
        <f t="shared" si="54"/>
        <v>21.913200000000003</v>
      </c>
      <c r="Q58" s="24">
        <f t="shared" ref="Q58:Q86" si="86">voorvlm1+voorllm2</f>
        <v>9.99</v>
      </c>
      <c r="R58" s="24">
        <f t="shared" si="77"/>
        <v>3.6184666666666665</v>
      </c>
      <c r="S58" s="87">
        <v>10.4</v>
      </c>
      <c r="T58" s="21">
        <f t="shared" si="55"/>
        <v>4.3991999999999996</v>
      </c>
      <c r="U58" s="21"/>
      <c r="V58" s="24">
        <f t="shared" si="78"/>
        <v>2.4500000000000002</v>
      </c>
      <c r="W58" s="24">
        <f t="shared" si="56"/>
        <v>2.6150000000000002</v>
      </c>
      <c r="X58" s="24">
        <f t="shared" si="57"/>
        <v>3.2045157917442024</v>
      </c>
      <c r="Y58" s="25">
        <f t="shared" si="9"/>
        <v>1</v>
      </c>
      <c r="Z58" s="24">
        <f t="shared" si="10"/>
        <v>20.821371358041404</v>
      </c>
      <c r="AA58" s="21">
        <f t="shared" si="58"/>
        <v>2.1085406833323619</v>
      </c>
      <c r="AB58" s="24">
        <f t="shared" si="12"/>
        <v>3.2587546821895748</v>
      </c>
      <c r="AC58" s="24">
        <f t="shared" si="59"/>
        <v>28.606487931546333</v>
      </c>
      <c r="AD58" s="58">
        <f t="shared" si="60"/>
        <v>279.7</v>
      </c>
      <c r="AE58" s="58">
        <f t="shared" si="61"/>
        <v>285.7</v>
      </c>
      <c r="AF58" s="21">
        <f t="shared" si="16"/>
        <v>4.95</v>
      </c>
      <c r="AG58" s="77">
        <f t="shared" si="17"/>
        <v>0</v>
      </c>
      <c r="AH58" s="114">
        <f t="shared" si="50"/>
        <v>1</v>
      </c>
      <c r="AI58" s="59">
        <f t="shared" si="18"/>
        <v>88.52622021893788</v>
      </c>
      <c r="AJ58" s="59">
        <f t="shared" si="19"/>
        <v>83.204225762291301</v>
      </c>
      <c r="AK58" s="55">
        <v>9.99</v>
      </c>
      <c r="AL58" s="55">
        <v>2.4500000000000002</v>
      </c>
      <c r="AM58" s="21">
        <f t="shared" si="81"/>
        <v>12.237750000000002</v>
      </c>
      <c r="AN58" s="54">
        <v>9.99</v>
      </c>
      <c r="AO58" s="55">
        <v>0.13</v>
      </c>
      <c r="AP58" s="21">
        <f t="shared" si="62"/>
        <v>0.86580000000000001</v>
      </c>
      <c r="AQ58" s="55">
        <v>2.5</v>
      </c>
      <c r="AR58" s="55">
        <v>0</v>
      </c>
      <c r="AS58" s="21">
        <f t="shared" si="63"/>
        <v>0</v>
      </c>
      <c r="AT58" s="54">
        <v>9.83</v>
      </c>
      <c r="AU58" s="54">
        <v>0.95</v>
      </c>
      <c r="AV58" s="21">
        <f t="shared" si="64"/>
        <v>4.6692499999999999</v>
      </c>
      <c r="AW58" s="54"/>
      <c r="AX58" s="54"/>
      <c r="AY58" s="21">
        <f t="shared" si="65"/>
        <v>0</v>
      </c>
      <c r="AZ58" s="54">
        <v>9.57</v>
      </c>
      <c r="BA58" s="54">
        <v>0.38</v>
      </c>
      <c r="BB58" s="21">
        <f t="shared" si="66"/>
        <v>2.4243999999999999</v>
      </c>
      <c r="BC58" s="54"/>
      <c r="BD58" s="54"/>
      <c r="BE58" s="21">
        <f t="shared" si="67"/>
        <v>0</v>
      </c>
      <c r="BF58" s="55"/>
      <c r="BG58" s="55"/>
      <c r="BH58" s="21">
        <f t="shared" si="68"/>
        <v>0</v>
      </c>
      <c r="BI58" s="55"/>
      <c r="BJ58" s="55"/>
      <c r="BK58" s="21">
        <f t="shared" si="69"/>
        <v>0</v>
      </c>
      <c r="BL58" s="55"/>
      <c r="BM58" s="55"/>
      <c r="BN58" s="21">
        <f t="shared" si="52"/>
        <v>0</v>
      </c>
      <c r="BO58" s="55"/>
      <c r="BP58" s="55"/>
      <c r="BQ58" s="21">
        <f t="shared" si="53"/>
        <v>0</v>
      </c>
      <c r="BR58" s="55"/>
      <c r="BS58" s="21">
        <f t="shared" si="70"/>
        <v>20.197200000000002</v>
      </c>
      <c r="BT58" s="56">
        <v>4.68</v>
      </c>
      <c r="BU58" s="56">
        <v>1.31</v>
      </c>
      <c r="BV58" s="21">
        <f t="shared" si="82"/>
        <v>3.0653999999999999</v>
      </c>
      <c r="BW58" s="77">
        <f t="shared" si="33"/>
        <v>4.68</v>
      </c>
      <c r="BX58" s="55">
        <v>0.05</v>
      </c>
      <c r="BY58" s="21">
        <f t="shared" si="83"/>
        <v>0.156</v>
      </c>
      <c r="BZ58" s="55">
        <v>1.34</v>
      </c>
      <c r="CA58" s="55">
        <v>0.02</v>
      </c>
      <c r="CB58" s="21">
        <f t="shared" si="84"/>
        <v>1.7866666666666666E-2</v>
      </c>
      <c r="CC58" s="54">
        <v>6.32</v>
      </c>
      <c r="CD58" s="54">
        <v>0.09</v>
      </c>
      <c r="CE58" s="21">
        <f t="shared" si="85"/>
        <v>0.37919999999999998</v>
      </c>
      <c r="CF58" s="21"/>
      <c r="CG58" s="21"/>
      <c r="CH58" s="21">
        <f t="shared" si="37"/>
        <v>0</v>
      </c>
      <c r="CI58" s="25">
        <f t="shared" si="38"/>
        <v>3.6184666666666665</v>
      </c>
      <c r="CJ58" s="54">
        <v>0.33</v>
      </c>
      <c r="CK58" s="21">
        <f t="shared" si="71"/>
        <v>1.7160000000000002</v>
      </c>
      <c r="CL58" s="55">
        <v>1116</v>
      </c>
      <c r="CM58" s="55" t="s">
        <v>217</v>
      </c>
      <c r="CN58" s="60">
        <v>39254</v>
      </c>
      <c r="CO58" s="55" t="s">
        <v>142</v>
      </c>
      <c r="CP58" s="55">
        <v>14327</v>
      </c>
      <c r="CQ58" s="55">
        <v>25367</v>
      </c>
      <c r="CR58" s="55">
        <v>10724</v>
      </c>
      <c r="CS58" s="55">
        <v>0</v>
      </c>
      <c r="CT58" s="55"/>
      <c r="CU58" s="55"/>
      <c r="CV58" s="55"/>
      <c r="CW58" s="55"/>
      <c r="CX58" s="55"/>
      <c r="CY58" s="21">
        <f t="shared" si="72"/>
        <v>0</v>
      </c>
      <c r="CZ58" s="56"/>
      <c r="DA58" s="56"/>
      <c r="DB58" s="56"/>
      <c r="DC58" s="56"/>
      <c r="DD58" s="61">
        <f t="shared" si="41"/>
        <v>0</v>
      </c>
      <c r="DE58" s="21">
        <f t="shared" si="42"/>
        <v>33</v>
      </c>
      <c r="DF58" s="55"/>
      <c r="DG58" s="55"/>
      <c r="DH58" s="55"/>
      <c r="DI58" s="55">
        <v>33</v>
      </c>
      <c r="DJ58" s="104"/>
      <c r="DK58"/>
      <c r="DM58" s="58">
        <f t="shared" si="43"/>
        <v>1190.9144961659761</v>
      </c>
      <c r="DN58" s="58">
        <f t="shared" si="73"/>
        <v>777.36199999999997</v>
      </c>
      <c r="DO58" s="21">
        <f t="shared" si="74"/>
        <v>0.65274375490653203</v>
      </c>
      <c r="DP58" s="62">
        <f t="shared" si="79"/>
        <v>1.0480410660242994</v>
      </c>
      <c r="DQ58" s="7">
        <v>0</v>
      </c>
      <c r="DR58" s="107">
        <f t="shared" si="47"/>
        <v>0</v>
      </c>
    </row>
    <row r="59" spans="1:122" ht="12.75" customHeight="1" x14ac:dyDescent="0.2">
      <c r="A59" s="53" t="s">
        <v>218</v>
      </c>
      <c r="B59" s="54">
        <v>2</v>
      </c>
      <c r="C59" s="92">
        <f t="shared" si="75"/>
        <v>95.396947529681455</v>
      </c>
      <c r="D59" s="92">
        <f t="shared" si="76"/>
        <v>87.947285152619088</v>
      </c>
      <c r="E59" s="92">
        <f>VLOOKUP(A59,[3]TRTOTAL!$A$7:$D$313,3,FALSE)</f>
        <v>94.682728725547278</v>
      </c>
      <c r="F59" s="92">
        <f>VLOOKUP(A59,[3]TRTOTAL!$A$7:$D$313,4,FALSE)</f>
        <v>87.288840553969749</v>
      </c>
      <c r="G59" s="92">
        <f t="shared" si="48"/>
        <v>0.71421880413417682</v>
      </c>
      <c r="H59" s="92">
        <f t="shared" si="49"/>
        <v>0.65844459864933924</v>
      </c>
      <c r="I59" s="54">
        <v>6.07</v>
      </c>
      <c r="J59" s="56">
        <v>6.06</v>
      </c>
      <c r="K59" s="54">
        <v>2.92</v>
      </c>
      <c r="L59" s="58">
        <v>2</v>
      </c>
      <c r="M59" s="57"/>
      <c r="N59" s="57">
        <v>146</v>
      </c>
      <c r="O59" s="21" t="s">
        <v>602</v>
      </c>
      <c r="P59" s="24">
        <f t="shared" si="54"/>
        <v>18.5</v>
      </c>
      <c r="Q59" s="24">
        <f t="shared" si="86"/>
        <v>10.07</v>
      </c>
      <c r="R59" s="24">
        <f t="shared" si="77"/>
        <v>0</v>
      </c>
      <c r="S59" s="87">
        <v>10.07</v>
      </c>
      <c r="T59" s="21">
        <f t="shared" si="55"/>
        <v>0</v>
      </c>
      <c r="U59" s="21">
        <v>1.665</v>
      </c>
      <c r="V59" s="24">
        <f t="shared" si="78"/>
        <v>1.665</v>
      </c>
      <c r="W59" s="24">
        <f t="shared" si="56"/>
        <v>1.825</v>
      </c>
      <c r="X59" s="24">
        <f t="shared" si="57"/>
        <v>5.5545130418465005</v>
      </c>
      <c r="Y59" s="25">
        <f t="shared" si="9"/>
        <v>1</v>
      </c>
      <c r="Z59" s="24">
        <f t="shared" si="10"/>
        <v>20.731958381884937</v>
      </c>
      <c r="AA59" s="21">
        <f t="shared" si="58"/>
        <v>0</v>
      </c>
      <c r="AB59" s="24">
        <f t="shared" si="12"/>
        <v>0</v>
      </c>
      <c r="AC59" s="24">
        <f t="shared" si="59"/>
        <v>25.831318381884937</v>
      </c>
      <c r="AD59" s="58">
        <f t="shared" si="60"/>
        <v>290</v>
      </c>
      <c r="AE59" s="58">
        <f t="shared" si="61"/>
        <v>296</v>
      </c>
      <c r="AF59" s="21">
        <f t="shared" si="16"/>
        <v>5.0993599999999999</v>
      </c>
      <c r="AG59" s="77">
        <f t="shared" si="17"/>
        <v>0</v>
      </c>
      <c r="AH59" s="114">
        <f t="shared" si="50"/>
        <v>0.98499999999999999</v>
      </c>
      <c r="AI59" s="59">
        <f t="shared" si="18"/>
        <v>93.674162915577739</v>
      </c>
      <c r="AJ59" s="59">
        <f t="shared" si="19"/>
        <v>86.359034861214496</v>
      </c>
      <c r="AK59" s="55"/>
      <c r="AL59" s="55"/>
      <c r="AM59" s="21">
        <f t="shared" si="81"/>
        <v>0</v>
      </c>
      <c r="AN59" s="54">
        <v>10.07</v>
      </c>
      <c r="AO59" s="55"/>
      <c r="AP59" s="21">
        <f t="shared" si="62"/>
        <v>0</v>
      </c>
      <c r="AQ59" s="55"/>
      <c r="AR59" s="55">
        <v>0</v>
      </c>
      <c r="AS59" s="21">
        <f t="shared" si="63"/>
        <v>0</v>
      </c>
      <c r="AT59" s="54"/>
      <c r="AU59" s="54"/>
      <c r="AV59" s="21">
        <f t="shared" si="64"/>
        <v>0</v>
      </c>
      <c r="AW59" s="54"/>
      <c r="AX59" s="54"/>
      <c r="AY59" s="21">
        <f t="shared" si="65"/>
        <v>0</v>
      </c>
      <c r="AZ59" s="54"/>
      <c r="BA59" s="54"/>
      <c r="BB59" s="21">
        <f t="shared" si="66"/>
        <v>0</v>
      </c>
      <c r="BC59" s="54"/>
      <c r="BD59" s="54"/>
      <c r="BE59" s="21">
        <f t="shared" si="67"/>
        <v>0</v>
      </c>
      <c r="BF59" s="55"/>
      <c r="BG59" s="55"/>
      <c r="BH59" s="21">
        <f t="shared" si="68"/>
        <v>0</v>
      </c>
      <c r="BI59" s="55"/>
      <c r="BJ59" s="55"/>
      <c r="BK59" s="21">
        <f t="shared" si="69"/>
        <v>0</v>
      </c>
      <c r="BL59" s="55">
        <v>0</v>
      </c>
      <c r="BM59" s="55">
        <v>0</v>
      </c>
      <c r="BN59" s="21">
        <f t="shared" si="52"/>
        <v>0</v>
      </c>
      <c r="BO59" s="55">
        <v>0</v>
      </c>
      <c r="BP59" s="55">
        <v>0</v>
      </c>
      <c r="BQ59" s="21">
        <f t="shared" si="53"/>
        <v>0</v>
      </c>
      <c r="BR59" s="55">
        <v>0</v>
      </c>
      <c r="BS59" s="21">
        <f t="shared" si="70"/>
        <v>0</v>
      </c>
      <c r="BT59" s="56"/>
      <c r="BU59" s="56"/>
      <c r="BV59" s="21">
        <f t="shared" si="82"/>
        <v>0</v>
      </c>
      <c r="BW59" s="77">
        <f t="shared" si="33"/>
        <v>0</v>
      </c>
      <c r="BX59" s="55"/>
      <c r="BY59" s="21">
        <f t="shared" si="83"/>
        <v>0</v>
      </c>
      <c r="BZ59" s="55"/>
      <c r="CA59" s="55"/>
      <c r="CB59" s="21">
        <f t="shared" si="84"/>
        <v>0</v>
      </c>
      <c r="CC59" s="54"/>
      <c r="CD59" s="54"/>
      <c r="CE59" s="21">
        <f t="shared" si="85"/>
        <v>0</v>
      </c>
      <c r="CF59" s="21"/>
      <c r="CG59" s="21"/>
      <c r="CH59" s="21">
        <f t="shared" si="37"/>
        <v>0</v>
      </c>
      <c r="CI59" s="25">
        <f t="shared" si="38"/>
        <v>0</v>
      </c>
      <c r="CJ59" s="54"/>
      <c r="CK59" s="21">
        <f t="shared" si="71"/>
        <v>0</v>
      </c>
      <c r="CL59" s="55"/>
      <c r="CM59" s="55" t="s">
        <v>219</v>
      </c>
      <c r="CN59" s="60">
        <v>40717</v>
      </c>
      <c r="CO59" s="55" t="s">
        <v>220</v>
      </c>
      <c r="CP59" s="55">
        <v>0</v>
      </c>
      <c r="CQ59" s="55">
        <v>0</v>
      </c>
      <c r="CR59" s="55">
        <v>0</v>
      </c>
      <c r="CS59" s="55">
        <v>0</v>
      </c>
      <c r="CT59" s="55"/>
      <c r="CU59" s="55"/>
      <c r="CV59" s="55"/>
      <c r="CW59" s="55"/>
      <c r="CX59" s="55"/>
      <c r="CY59" s="21">
        <f t="shared" si="72"/>
        <v>0</v>
      </c>
      <c r="CZ59" s="56">
        <v>5.46</v>
      </c>
      <c r="DA59" s="56">
        <v>10.3</v>
      </c>
      <c r="DB59" s="56">
        <v>8.26</v>
      </c>
      <c r="DC59" s="56">
        <v>4.13</v>
      </c>
      <c r="DD59" s="61">
        <f t="shared" si="41"/>
        <v>0.75641025641025639</v>
      </c>
      <c r="DE59" s="21">
        <f t="shared" si="42"/>
        <v>33.995733333333334</v>
      </c>
      <c r="DF59" s="55">
        <v>18.5</v>
      </c>
      <c r="DG59" s="55"/>
      <c r="DH59" s="55"/>
      <c r="DI59" s="55"/>
      <c r="DJ59" s="104"/>
      <c r="DK59" s="50" t="s">
        <v>221</v>
      </c>
      <c r="DM59" s="58">
        <f t="shared" si="43"/>
        <v>935.18148595199989</v>
      </c>
      <c r="DN59" s="58">
        <f t="shared" si="73"/>
        <v>792.4</v>
      </c>
      <c r="DO59" s="21">
        <f t="shared" si="74"/>
        <v>0.84732216356202705</v>
      </c>
      <c r="DP59" s="62">
        <f t="shared" si="79"/>
        <v>1.0183912464278582</v>
      </c>
      <c r="DQ59" s="7">
        <v>0</v>
      </c>
      <c r="DR59" s="107" t="str">
        <f t="shared" si="47"/>
        <v>yes</v>
      </c>
    </row>
    <row r="60" spans="1:122" ht="12.75" customHeight="1" x14ac:dyDescent="0.2">
      <c r="A60" s="53" t="s">
        <v>222</v>
      </c>
      <c r="B60" s="54">
        <v>2</v>
      </c>
      <c r="C60" s="92">
        <f t="shared" si="75"/>
        <v>80.612484154206442</v>
      </c>
      <c r="D60" s="92">
        <f t="shared" si="76"/>
        <v>79.963341895255155</v>
      </c>
      <c r="E60" s="92">
        <f>VLOOKUP(A60,[3]TRTOTAL!$A$7:$D$313,3,FALSE)</f>
        <v>79.991710381144173</v>
      </c>
      <c r="F60" s="92">
        <f>VLOOKUP(A60,[3]TRTOTAL!$A$7:$D$313,4,FALSE)</f>
        <v>79.347566981781071</v>
      </c>
      <c r="G60" s="92">
        <f t="shared" si="48"/>
        <v>0.62077377306226822</v>
      </c>
      <c r="H60" s="92">
        <f t="shared" si="49"/>
        <v>0.61577491347408397</v>
      </c>
      <c r="I60" s="54">
        <v>6.07</v>
      </c>
      <c r="J60" s="56">
        <v>6.06</v>
      </c>
      <c r="K60" s="54">
        <v>2.92</v>
      </c>
      <c r="L60" s="58">
        <v>2</v>
      </c>
      <c r="M60" s="57"/>
      <c r="N60" s="57">
        <v>146</v>
      </c>
      <c r="O60" s="21" t="s">
        <v>602</v>
      </c>
      <c r="P60" s="24">
        <f t="shared" si="54"/>
        <v>18.5</v>
      </c>
      <c r="Q60" s="24">
        <f t="shared" si="86"/>
        <v>10.07</v>
      </c>
      <c r="R60" s="24">
        <f t="shared" si="77"/>
        <v>25.7439</v>
      </c>
      <c r="S60" s="87">
        <v>10.07</v>
      </c>
      <c r="T60" s="21">
        <f t="shared" si="55"/>
        <v>8.8641999999999985</v>
      </c>
      <c r="U60" s="21">
        <v>1.665</v>
      </c>
      <c r="V60" s="24">
        <f t="shared" si="78"/>
        <v>1.665</v>
      </c>
      <c r="W60" s="24">
        <f t="shared" si="56"/>
        <v>1.825</v>
      </c>
      <c r="X60" s="24">
        <f t="shared" si="57"/>
        <v>5.5545130418465005</v>
      </c>
      <c r="Y60" s="25">
        <f t="shared" si="9"/>
        <v>1</v>
      </c>
      <c r="Z60" s="24">
        <f t="shared" si="10"/>
        <v>20.731958381884937</v>
      </c>
      <c r="AA60" s="21">
        <f t="shared" si="58"/>
        <v>0.86355311355311359</v>
      </c>
      <c r="AB60" s="24">
        <f t="shared" si="12"/>
        <v>17.737546725649509</v>
      </c>
      <c r="AC60" s="24">
        <f t="shared" si="59"/>
        <v>39.913624033200009</v>
      </c>
      <c r="AD60" s="58">
        <f t="shared" si="60"/>
        <v>290</v>
      </c>
      <c r="AE60" s="58">
        <f t="shared" si="61"/>
        <v>296</v>
      </c>
      <c r="AF60" s="21">
        <f t="shared" si="16"/>
        <v>3.75</v>
      </c>
      <c r="AG60" s="77">
        <f t="shared" si="17"/>
        <v>0</v>
      </c>
      <c r="AH60" s="114">
        <f t="shared" si="50"/>
        <v>0.98499999999999999</v>
      </c>
      <c r="AI60" s="59">
        <f t="shared" si="18"/>
        <v>73.152523525268407</v>
      </c>
      <c r="AJ60" s="59">
        <f t="shared" si="19"/>
        <v>72.563453546003885</v>
      </c>
      <c r="AK60" s="55"/>
      <c r="AL60" s="55"/>
      <c r="AM60" s="21">
        <f t="shared" si="81"/>
        <v>0</v>
      </c>
      <c r="AN60" s="54">
        <v>10.07</v>
      </c>
      <c r="AO60" s="55"/>
      <c r="AP60" s="21">
        <f t="shared" si="62"/>
        <v>0</v>
      </c>
      <c r="AQ60" s="55"/>
      <c r="AR60" s="55">
        <v>0</v>
      </c>
      <c r="AS60" s="21">
        <f t="shared" si="63"/>
        <v>0</v>
      </c>
      <c r="AT60" s="54"/>
      <c r="AU60" s="54"/>
      <c r="AV60" s="21">
        <f t="shared" si="64"/>
        <v>0</v>
      </c>
      <c r="AW60" s="54"/>
      <c r="AX60" s="54"/>
      <c r="AY60" s="21">
        <f t="shared" si="65"/>
        <v>0</v>
      </c>
      <c r="AZ60" s="54"/>
      <c r="BA60" s="54"/>
      <c r="BB60" s="21">
        <f t="shared" si="66"/>
        <v>0</v>
      </c>
      <c r="BC60" s="54"/>
      <c r="BD60" s="54"/>
      <c r="BE60" s="21">
        <f t="shared" si="67"/>
        <v>0</v>
      </c>
      <c r="BF60" s="55"/>
      <c r="BG60" s="55"/>
      <c r="BH60" s="21">
        <f t="shared" si="68"/>
        <v>0</v>
      </c>
      <c r="BI60" s="55"/>
      <c r="BJ60" s="55"/>
      <c r="BK60" s="21">
        <f t="shared" si="69"/>
        <v>0</v>
      </c>
      <c r="BL60" s="55">
        <v>0</v>
      </c>
      <c r="BM60" s="55">
        <v>0</v>
      </c>
      <c r="BN60" s="21">
        <f t="shared" si="52"/>
        <v>0</v>
      </c>
      <c r="BO60" s="55">
        <v>0</v>
      </c>
      <c r="BP60" s="55">
        <v>0</v>
      </c>
      <c r="BQ60" s="21">
        <f t="shared" si="53"/>
        <v>0</v>
      </c>
      <c r="BR60" s="55">
        <v>0</v>
      </c>
      <c r="BS60" s="21">
        <f t="shared" si="70"/>
        <v>0</v>
      </c>
      <c r="BT60" s="56">
        <v>9.43</v>
      </c>
      <c r="BU60" s="56">
        <v>5.46</v>
      </c>
      <c r="BV60" s="21">
        <f t="shared" si="82"/>
        <v>25.7439</v>
      </c>
      <c r="BW60" s="77">
        <f t="shared" si="33"/>
        <v>9.43</v>
      </c>
      <c r="BX60" s="55"/>
      <c r="BY60" s="21">
        <f t="shared" si="83"/>
        <v>0</v>
      </c>
      <c r="BZ60" s="55"/>
      <c r="CA60" s="55"/>
      <c r="CB60" s="21">
        <f t="shared" si="84"/>
        <v>0</v>
      </c>
      <c r="CC60" s="54"/>
      <c r="CD60" s="54"/>
      <c r="CE60" s="21">
        <f t="shared" si="85"/>
        <v>0</v>
      </c>
      <c r="CF60" s="21"/>
      <c r="CG60" s="21"/>
      <c r="CH60" s="21">
        <f t="shared" si="37"/>
        <v>0</v>
      </c>
      <c r="CI60" s="25">
        <f t="shared" si="38"/>
        <v>25.7439</v>
      </c>
      <c r="CJ60" s="54"/>
      <c r="CK60" s="21">
        <f t="shared" si="71"/>
        <v>0</v>
      </c>
      <c r="CL60" s="55"/>
      <c r="CM60" s="55" t="s">
        <v>219</v>
      </c>
      <c r="CN60" s="60">
        <v>40717</v>
      </c>
      <c r="CO60" s="55" t="s">
        <v>220</v>
      </c>
      <c r="CP60" s="55">
        <v>0</v>
      </c>
      <c r="CQ60" s="55">
        <v>0</v>
      </c>
      <c r="CR60" s="55">
        <v>0</v>
      </c>
      <c r="CS60" s="55">
        <v>0</v>
      </c>
      <c r="CT60" s="55"/>
      <c r="CU60" s="55"/>
      <c r="CV60" s="55"/>
      <c r="CW60" s="55"/>
      <c r="CX60" s="55"/>
      <c r="CY60" s="21">
        <f t="shared" si="72"/>
        <v>0</v>
      </c>
      <c r="CZ60" s="56"/>
      <c r="DA60" s="56"/>
      <c r="DB60" s="56"/>
      <c r="DC60" s="56"/>
      <c r="DD60" s="61">
        <f t="shared" si="41"/>
        <v>0</v>
      </c>
      <c r="DE60" s="21">
        <f t="shared" si="42"/>
        <v>0</v>
      </c>
      <c r="DF60" s="55">
        <v>18.5</v>
      </c>
      <c r="DG60" s="55"/>
      <c r="DH60" s="55"/>
      <c r="DI60" s="55"/>
      <c r="DJ60" s="104"/>
      <c r="DK60" s="50" t="s">
        <v>221</v>
      </c>
      <c r="DM60" s="58">
        <f t="shared" si="43"/>
        <v>1915.7344283591644</v>
      </c>
      <c r="DN60" s="58">
        <f t="shared" si="73"/>
        <v>792.4</v>
      </c>
      <c r="DO60" s="21">
        <f t="shared" si="74"/>
        <v>0.41362726914016695</v>
      </c>
      <c r="DP60" s="62">
        <f t="shared" si="79"/>
        <v>1.1019781720361459</v>
      </c>
      <c r="DQ60" s="7">
        <v>0</v>
      </c>
      <c r="DR60" s="107" t="str">
        <f t="shared" si="47"/>
        <v>yes</v>
      </c>
    </row>
    <row r="61" spans="1:122" ht="12.75" customHeight="1" x14ac:dyDescent="0.2">
      <c r="A61" s="53" t="s">
        <v>223</v>
      </c>
      <c r="B61" s="54">
        <v>2</v>
      </c>
      <c r="C61" s="92">
        <f t="shared" si="75"/>
        <v>91.78638969025728</v>
      </c>
      <c r="D61" s="92">
        <f t="shared" si="76"/>
        <v>87.086838420439719</v>
      </c>
      <c r="E61" s="92">
        <f>VLOOKUP(A61,[3]TRTOTAL!$A$7:$D$313,3,FALSE)</f>
        <v>91.78638969025728</v>
      </c>
      <c r="F61" s="92">
        <f>VLOOKUP(A61,[3]TRTOTAL!$A$7:$D$313,4,FALSE)</f>
        <v>87.086838420439719</v>
      </c>
      <c r="G61" s="92">
        <f t="shared" si="48"/>
        <v>0</v>
      </c>
      <c r="H61" s="92">
        <f t="shared" si="49"/>
        <v>0</v>
      </c>
      <c r="I61" s="54">
        <v>6.07</v>
      </c>
      <c r="J61" s="56">
        <v>6.06</v>
      </c>
      <c r="K61" s="54">
        <v>2.92</v>
      </c>
      <c r="L61" s="58">
        <v>2</v>
      </c>
      <c r="M61" s="57"/>
      <c r="N61" s="57">
        <v>136</v>
      </c>
      <c r="O61" s="87"/>
      <c r="P61" s="24">
        <f t="shared" si="54"/>
        <v>22.26796666666667</v>
      </c>
      <c r="Q61" s="24">
        <f t="shared" si="86"/>
        <v>10.07</v>
      </c>
      <c r="R61" s="24">
        <f t="shared" si="77"/>
        <v>4.0933999999999999</v>
      </c>
      <c r="S61" s="87">
        <v>10.47</v>
      </c>
      <c r="T61" s="21">
        <f t="shared" si="55"/>
        <v>6.6175999999999995</v>
      </c>
      <c r="U61" s="21"/>
      <c r="V61" s="24">
        <f t="shared" si="78"/>
        <v>2.44</v>
      </c>
      <c r="W61" s="24">
        <f t="shared" si="56"/>
        <v>2.6149999999999998</v>
      </c>
      <c r="X61" s="24">
        <f t="shared" si="57"/>
        <v>3.2563957264738548</v>
      </c>
      <c r="Y61" s="25">
        <f t="shared" si="9"/>
        <v>1</v>
      </c>
      <c r="Z61" s="24">
        <f t="shared" si="10"/>
        <v>21.260649022512641</v>
      </c>
      <c r="AA61" s="21">
        <f t="shared" si="58"/>
        <v>2.4598281353284057</v>
      </c>
      <c r="AB61" s="24">
        <f t="shared" si="12"/>
        <v>3.8608960688923188</v>
      </c>
      <c r="AC61" s="24">
        <f t="shared" si="59"/>
        <v>29.146892352448958</v>
      </c>
      <c r="AD61" s="58">
        <f t="shared" si="60"/>
        <v>280</v>
      </c>
      <c r="AE61" s="58">
        <f t="shared" si="61"/>
        <v>286</v>
      </c>
      <c r="AF61" s="21">
        <f t="shared" si="16"/>
        <v>4.5272637499999986</v>
      </c>
      <c r="AG61" s="77">
        <f t="shared" si="17"/>
        <v>0</v>
      </c>
      <c r="AH61" s="114">
        <f t="shared" si="50"/>
        <v>1</v>
      </c>
      <c r="AI61" s="59">
        <f t="shared" si="18"/>
        <v>87.069929693472091</v>
      </c>
      <c r="AJ61" s="59">
        <f t="shared" si="19"/>
        <v>82.611865703432429</v>
      </c>
      <c r="AK61" s="55">
        <v>10.07</v>
      </c>
      <c r="AL61" s="55">
        <v>2.44</v>
      </c>
      <c r="AM61" s="21">
        <f t="shared" si="81"/>
        <v>12.285399999999999</v>
      </c>
      <c r="AN61" s="54">
        <v>10.07</v>
      </c>
      <c r="AO61" s="55">
        <v>0.105</v>
      </c>
      <c r="AP61" s="21">
        <f t="shared" si="62"/>
        <v>0.70489999999999997</v>
      </c>
      <c r="AQ61" s="55"/>
      <c r="AR61" s="55">
        <v>0</v>
      </c>
      <c r="AS61" s="21">
        <f t="shared" si="63"/>
        <v>0</v>
      </c>
      <c r="AT61" s="54">
        <v>9.76</v>
      </c>
      <c r="AU61" s="54">
        <v>0.88</v>
      </c>
      <c r="AV61" s="21">
        <f t="shared" si="64"/>
        <v>4.2943999999999996</v>
      </c>
      <c r="AW61" s="54">
        <v>5.14</v>
      </c>
      <c r="AX61" s="54">
        <v>0.73</v>
      </c>
      <c r="AY61" s="21">
        <f t="shared" si="65"/>
        <v>1.8760999999999999</v>
      </c>
      <c r="AZ61" s="54">
        <v>4.78</v>
      </c>
      <c r="BA61" s="54">
        <v>0.03</v>
      </c>
      <c r="BB61" s="21">
        <f t="shared" si="66"/>
        <v>9.5600000000000004E-2</v>
      </c>
      <c r="BC61" s="54">
        <v>2.77</v>
      </c>
      <c r="BD61" s="54">
        <v>0.04</v>
      </c>
      <c r="BE61" s="21">
        <f t="shared" si="67"/>
        <v>7.3866666666666678E-2</v>
      </c>
      <c r="BF61" s="55">
        <v>2.58</v>
      </c>
      <c r="BG61" s="55">
        <v>0.80500000000000005</v>
      </c>
      <c r="BH61" s="21">
        <f t="shared" si="68"/>
        <v>1.0384500000000001</v>
      </c>
      <c r="BI61" s="55">
        <v>2.0099999999999998</v>
      </c>
      <c r="BJ61" s="55">
        <v>0.05</v>
      </c>
      <c r="BK61" s="21">
        <f t="shared" si="69"/>
        <v>6.699999999999999E-2</v>
      </c>
      <c r="BL61" s="55">
        <v>0</v>
      </c>
      <c r="BM61" s="55">
        <v>0</v>
      </c>
      <c r="BN61" s="21">
        <f t="shared" si="52"/>
        <v>0</v>
      </c>
      <c r="BO61" s="55">
        <v>0</v>
      </c>
      <c r="BP61" s="55">
        <v>0</v>
      </c>
      <c r="BQ61" s="21">
        <f t="shared" si="53"/>
        <v>0</v>
      </c>
      <c r="BR61" s="55">
        <v>0</v>
      </c>
      <c r="BS61" s="21">
        <f t="shared" si="70"/>
        <v>20.435716666666671</v>
      </c>
      <c r="BT61" s="56">
        <v>7.04</v>
      </c>
      <c r="BU61" s="56">
        <v>1.29</v>
      </c>
      <c r="BV61" s="21">
        <f t="shared" si="82"/>
        <v>4.5407999999999999</v>
      </c>
      <c r="BW61" s="77">
        <f t="shared" si="33"/>
        <v>7.04</v>
      </c>
      <c r="BX61" s="55">
        <v>-5.0000000000000001E-3</v>
      </c>
      <c r="BY61" s="21">
        <f t="shared" si="83"/>
        <v>-2.3466666666666667E-2</v>
      </c>
      <c r="BZ61" s="55">
        <v>1.31</v>
      </c>
      <c r="CA61" s="55">
        <v>0.05</v>
      </c>
      <c r="CB61" s="21">
        <f t="shared" si="84"/>
        <v>4.3666666666666666E-2</v>
      </c>
      <c r="CC61" s="54">
        <v>6.68</v>
      </c>
      <c r="CD61" s="54">
        <v>-0.105</v>
      </c>
      <c r="CE61" s="21">
        <f t="shared" si="85"/>
        <v>-0.46759999999999996</v>
      </c>
      <c r="CF61" s="21"/>
      <c r="CG61" s="21"/>
      <c r="CH61" s="21">
        <f t="shared" si="37"/>
        <v>0</v>
      </c>
      <c r="CI61" s="25">
        <f t="shared" si="38"/>
        <v>4.0933999999999999</v>
      </c>
      <c r="CJ61" s="54">
        <v>0.35</v>
      </c>
      <c r="CK61" s="21">
        <f t="shared" si="71"/>
        <v>1.8322499999999999</v>
      </c>
      <c r="CL61" s="55" t="s">
        <v>224</v>
      </c>
      <c r="CM61" s="55" t="s">
        <v>225</v>
      </c>
      <c r="CN61" s="60">
        <v>39972</v>
      </c>
      <c r="CO61" s="55" t="s">
        <v>226</v>
      </c>
      <c r="CP61" s="55">
        <v>0</v>
      </c>
      <c r="CQ61" s="55">
        <v>0</v>
      </c>
      <c r="CR61" s="55">
        <v>0</v>
      </c>
      <c r="CS61" s="55">
        <v>0</v>
      </c>
      <c r="CT61" s="55"/>
      <c r="CU61" s="55"/>
      <c r="CV61" s="55"/>
      <c r="CW61" s="55"/>
      <c r="CX61" s="55"/>
      <c r="CY61" s="21">
        <f t="shared" si="72"/>
        <v>0</v>
      </c>
      <c r="CZ61" s="56">
        <v>4.83</v>
      </c>
      <c r="DA61" s="56">
        <v>9.48</v>
      </c>
      <c r="DB61" s="56">
        <v>8.5299999999999994</v>
      </c>
      <c r="DC61" s="56">
        <v>3.82</v>
      </c>
      <c r="DD61" s="61">
        <f t="shared" si="41"/>
        <v>0.79089026915113869</v>
      </c>
      <c r="DE61" s="21">
        <f t="shared" si="42"/>
        <v>30.181758333333327</v>
      </c>
      <c r="DF61" s="55"/>
      <c r="DG61" s="55"/>
      <c r="DH61" s="55"/>
      <c r="DI61" s="55"/>
      <c r="DJ61" s="104"/>
      <c r="DK61"/>
      <c r="DM61" s="58">
        <f t="shared" si="43"/>
        <v>1256.4393231652648</v>
      </c>
      <c r="DN61" s="58">
        <f t="shared" si="73"/>
        <v>777.8</v>
      </c>
      <c r="DO61" s="21">
        <f t="shared" si="74"/>
        <v>0.61905098452390017</v>
      </c>
      <c r="DP61" s="62">
        <f t="shared" si="79"/>
        <v>1.0541686436797342</v>
      </c>
      <c r="DQ61" s="7">
        <v>0</v>
      </c>
      <c r="DR61" s="107">
        <f t="shared" si="47"/>
        <v>0</v>
      </c>
    </row>
    <row r="62" spans="1:122" ht="12.75" customHeight="1" x14ac:dyDescent="0.2">
      <c r="A62" s="53" t="s">
        <v>227</v>
      </c>
      <c r="B62" s="54">
        <v>2</v>
      </c>
      <c r="C62" s="92">
        <f t="shared" si="75"/>
        <v>98.762216793088129</v>
      </c>
      <c r="D62" s="92">
        <f t="shared" si="76"/>
        <v>90.22753473659283</v>
      </c>
      <c r="E62" s="92">
        <f>VLOOKUP(A62,[3]TRTOTAL!$A$7:$D$313,3,FALSE)</f>
        <v>98.022802857965601</v>
      </c>
      <c r="F62" s="92">
        <f>VLOOKUP(A62,[3]TRTOTAL!$A$7:$D$313,4,FALSE)</f>
        <v>89.552018342952508</v>
      </c>
      <c r="G62" s="92">
        <f t="shared" si="48"/>
        <v>0.73941393512252773</v>
      </c>
      <c r="H62" s="92">
        <f t="shared" si="49"/>
        <v>0.67551639364032212</v>
      </c>
      <c r="I62" s="54">
        <v>6.07</v>
      </c>
      <c r="J62" s="56">
        <v>6.06</v>
      </c>
      <c r="K62" s="54">
        <v>2.92</v>
      </c>
      <c r="L62" s="58">
        <v>2</v>
      </c>
      <c r="M62" s="57"/>
      <c r="N62" s="57">
        <v>146</v>
      </c>
      <c r="O62" s="21" t="s">
        <v>602</v>
      </c>
      <c r="P62" s="24">
        <f t="shared" si="54"/>
        <v>17</v>
      </c>
      <c r="Q62" s="24">
        <f t="shared" si="86"/>
        <v>10.07</v>
      </c>
      <c r="R62" s="24">
        <f t="shared" si="77"/>
        <v>0</v>
      </c>
      <c r="S62" s="87">
        <v>10.07</v>
      </c>
      <c r="T62" s="21">
        <f t="shared" si="55"/>
        <v>0</v>
      </c>
      <c r="U62" s="21">
        <v>1.665</v>
      </c>
      <c r="V62" s="24">
        <f t="shared" si="78"/>
        <v>1.665</v>
      </c>
      <c r="W62" s="24">
        <f t="shared" si="56"/>
        <v>1.825</v>
      </c>
      <c r="X62" s="24">
        <f t="shared" si="57"/>
        <v>5.1041471195346215</v>
      </c>
      <c r="Y62" s="25">
        <f t="shared" si="9"/>
        <v>1</v>
      </c>
      <c r="Z62" s="24">
        <f t="shared" si="10"/>
        <v>18.573796339091192</v>
      </c>
      <c r="AA62" s="21">
        <f t="shared" si="58"/>
        <v>0</v>
      </c>
      <c r="AB62" s="24">
        <f t="shared" si="12"/>
        <v>0</v>
      </c>
      <c r="AC62" s="24">
        <f t="shared" si="59"/>
        <v>23.673156339091193</v>
      </c>
      <c r="AD62" s="58">
        <f t="shared" si="60"/>
        <v>290</v>
      </c>
      <c r="AE62" s="58">
        <f t="shared" si="61"/>
        <v>296</v>
      </c>
      <c r="AF62" s="21">
        <f t="shared" si="16"/>
        <v>5.0993599999999999</v>
      </c>
      <c r="AG62" s="77">
        <f t="shared" si="17"/>
        <v>0</v>
      </c>
      <c r="AH62" s="114">
        <f t="shared" si="50"/>
        <v>0.98499999999999999</v>
      </c>
      <c r="AI62" s="59">
        <f t="shared" si="18"/>
        <v>97.884895276473955</v>
      </c>
      <c r="AJ62" s="59">
        <f t="shared" si="19"/>
        <v>89.426028247716545</v>
      </c>
      <c r="AK62" s="55"/>
      <c r="AL62" s="55"/>
      <c r="AM62" s="21">
        <f t="shared" si="81"/>
        <v>0</v>
      </c>
      <c r="AN62" s="54">
        <v>10.07</v>
      </c>
      <c r="AO62" s="55"/>
      <c r="AP62" s="21">
        <f t="shared" si="62"/>
        <v>0</v>
      </c>
      <c r="AQ62" s="55"/>
      <c r="AR62" s="55">
        <v>0</v>
      </c>
      <c r="AS62" s="21">
        <f t="shared" si="63"/>
        <v>0</v>
      </c>
      <c r="AT62" s="54"/>
      <c r="AU62" s="54"/>
      <c r="AV62" s="21">
        <f t="shared" si="64"/>
        <v>0</v>
      </c>
      <c r="AW62" s="54"/>
      <c r="AX62" s="54"/>
      <c r="AY62" s="21">
        <f t="shared" si="65"/>
        <v>0</v>
      </c>
      <c r="AZ62" s="54"/>
      <c r="BA62" s="54"/>
      <c r="BB62" s="21">
        <f t="shared" si="66"/>
        <v>0</v>
      </c>
      <c r="BC62" s="54"/>
      <c r="BD62" s="54"/>
      <c r="BE62" s="21">
        <f t="shared" si="67"/>
        <v>0</v>
      </c>
      <c r="BF62" s="55"/>
      <c r="BG62" s="55"/>
      <c r="BH62" s="21">
        <f t="shared" si="68"/>
        <v>0</v>
      </c>
      <c r="BI62" s="55"/>
      <c r="BJ62" s="55"/>
      <c r="BK62" s="21">
        <f t="shared" si="69"/>
        <v>0</v>
      </c>
      <c r="BL62" s="55">
        <v>0</v>
      </c>
      <c r="BM62" s="55">
        <v>0</v>
      </c>
      <c r="BN62" s="21">
        <f t="shared" si="52"/>
        <v>0</v>
      </c>
      <c r="BO62" s="55">
        <v>0</v>
      </c>
      <c r="BP62" s="55">
        <v>0</v>
      </c>
      <c r="BQ62" s="21">
        <f t="shared" si="53"/>
        <v>0</v>
      </c>
      <c r="BR62" s="55">
        <v>0</v>
      </c>
      <c r="BS62" s="21">
        <f t="shared" si="70"/>
        <v>0</v>
      </c>
      <c r="BT62" s="56"/>
      <c r="BU62" s="56"/>
      <c r="BV62" s="21">
        <f t="shared" si="82"/>
        <v>0</v>
      </c>
      <c r="BW62" s="77">
        <f t="shared" si="33"/>
        <v>0</v>
      </c>
      <c r="BX62" s="55"/>
      <c r="BY62" s="21">
        <f t="shared" si="83"/>
        <v>0</v>
      </c>
      <c r="BZ62" s="55"/>
      <c r="CA62" s="55"/>
      <c r="CB62" s="21">
        <f t="shared" si="84"/>
        <v>0</v>
      </c>
      <c r="CC62" s="54"/>
      <c r="CD62" s="54"/>
      <c r="CE62" s="21">
        <f t="shared" si="85"/>
        <v>0</v>
      </c>
      <c r="CF62" s="21"/>
      <c r="CG62" s="21"/>
      <c r="CH62" s="21">
        <f t="shared" si="37"/>
        <v>0</v>
      </c>
      <c r="CI62" s="25">
        <f t="shared" si="38"/>
        <v>0</v>
      </c>
      <c r="CJ62" s="54"/>
      <c r="CK62" s="21">
        <f t="shared" si="71"/>
        <v>0</v>
      </c>
      <c r="CL62" s="55"/>
      <c r="CM62" s="55" t="s">
        <v>219</v>
      </c>
      <c r="CN62" s="60">
        <v>40717</v>
      </c>
      <c r="CO62" s="55" t="s">
        <v>220</v>
      </c>
      <c r="CP62" s="55">
        <v>0</v>
      </c>
      <c r="CQ62" s="55">
        <v>0</v>
      </c>
      <c r="CR62" s="55">
        <v>0</v>
      </c>
      <c r="CS62" s="55">
        <v>0</v>
      </c>
      <c r="CT62" s="55"/>
      <c r="CU62" s="55"/>
      <c r="CV62" s="55"/>
      <c r="CW62" s="55"/>
      <c r="CX62" s="55"/>
      <c r="CY62" s="21">
        <f t="shared" si="72"/>
        <v>0</v>
      </c>
      <c r="CZ62" s="56">
        <v>5.46</v>
      </c>
      <c r="DA62" s="56">
        <v>10.3</v>
      </c>
      <c r="DB62" s="56">
        <v>8.26</v>
      </c>
      <c r="DC62" s="56">
        <v>4.13</v>
      </c>
      <c r="DD62" s="61">
        <f t="shared" si="41"/>
        <v>0.75641025641025639</v>
      </c>
      <c r="DE62" s="21">
        <f t="shared" si="42"/>
        <v>33.995733333333334</v>
      </c>
      <c r="DF62" s="55">
        <v>17</v>
      </c>
      <c r="DG62" s="55"/>
      <c r="DH62" s="55"/>
      <c r="DI62" s="55"/>
      <c r="DJ62" s="104"/>
      <c r="DK62" s="50" t="s">
        <v>221</v>
      </c>
      <c r="DM62" s="58">
        <f t="shared" si="43"/>
        <v>859.35596006399999</v>
      </c>
      <c r="DN62" s="58">
        <f t="shared" si="73"/>
        <v>792.4</v>
      </c>
      <c r="DO62" s="21">
        <f t="shared" si="74"/>
        <v>0.92208588387632351</v>
      </c>
      <c r="DP62" s="62">
        <f t="shared" si="79"/>
        <v>1.0089627875080849</v>
      </c>
      <c r="DQ62" s="7">
        <v>0</v>
      </c>
      <c r="DR62" s="107" t="str">
        <f t="shared" si="47"/>
        <v>yes</v>
      </c>
    </row>
    <row r="63" spans="1:122" ht="12.75" customHeight="1" x14ac:dyDescent="0.2">
      <c r="A63" s="53" t="s">
        <v>228</v>
      </c>
      <c r="B63" s="54">
        <v>2</v>
      </c>
      <c r="C63" s="92">
        <f t="shared" si="75"/>
        <v>82.130171759926853</v>
      </c>
      <c r="D63" s="92">
        <f t="shared" si="76"/>
        <v>81.398836533023683</v>
      </c>
      <c r="E63" s="92">
        <f>VLOOKUP(A63,[3]TRTOTAL!$A$7:$D$313,3,FALSE)</f>
        <v>81.496986041342794</v>
      </c>
      <c r="F63" s="92">
        <f>VLOOKUP(A63,[3]TRTOTAL!$A$7:$D$313,4,FALSE)</f>
        <v>80.771289071504583</v>
      </c>
      <c r="G63" s="92">
        <f t="shared" si="48"/>
        <v>0.63318571858405903</v>
      </c>
      <c r="H63" s="92">
        <f t="shared" si="49"/>
        <v>0.62754746151910012</v>
      </c>
      <c r="I63" s="54">
        <v>6.07</v>
      </c>
      <c r="J63" s="56">
        <v>6.06</v>
      </c>
      <c r="K63" s="54">
        <v>2.92</v>
      </c>
      <c r="L63" s="58">
        <v>2</v>
      </c>
      <c r="M63" s="57"/>
      <c r="N63" s="57">
        <v>146</v>
      </c>
      <c r="O63" s="21" t="s">
        <v>602</v>
      </c>
      <c r="P63" s="24">
        <f t="shared" si="54"/>
        <v>17</v>
      </c>
      <c r="Q63" s="24">
        <f t="shared" si="86"/>
        <v>10.07</v>
      </c>
      <c r="R63" s="24">
        <f t="shared" si="77"/>
        <v>25.7439</v>
      </c>
      <c r="S63" s="87">
        <v>10.07</v>
      </c>
      <c r="T63" s="21">
        <f t="shared" si="55"/>
        <v>8.8641999999999985</v>
      </c>
      <c r="U63" s="21">
        <v>1.665</v>
      </c>
      <c r="V63" s="24">
        <f t="shared" si="78"/>
        <v>1.665</v>
      </c>
      <c r="W63" s="24">
        <f t="shared" si="56"/>
        <v>1.825</v>
      </c>
      <c r="X63" s="24">
        <f t="shared" si="57"/>
        <v>5.1041471195346215</v>
      </c>
      <c r="Y63" s="25">
        <f t="shared" si="9"/>
        <v>1</v>
      </c>
      <c r="Z63" s="24">
        <f t="shared" si="10"/>
        <v>18.573796339091192</v>
      </c>
      <c r="AA63" s="21">
        <f t="shared" si="58"/>
        <v>0.86355311355311359</v>
      </c>
      <c r="AB63" s="24">
        <f t="shared" si="12"/>
        <v>17.737546725649509</v>
      </c>
      <c r="AC63" s="24">
        <f t="shared" si="59"/>
        <v>37.75546199040626</v>
      </c>
      <c r="AD63" s="58">
        <f t="shared" si="60"/>
        <v>290</v>
      </c>
      <c r="AE63" s="58">
        <f t="shared" si="61"/>
        <v>296</v>
      </c>
      <c r="AF63" s="21">
        <f t="shared" si="16"/>
        <v>3.75</v>
      </c>
      <c r="AG63" s="77">
        <f t="shared" si="17"/>
        <v>0</v>
      </c>
      <c r="AH63" s="114">
        <f t="shared" si="50"/>
        <v>0.98499999999999999</v>
      </c>
      <c r="AI63" s="59">
        <f t="shared" si="18"/>
        <v>74.861586587560865</v>
      </c>
      <c r="AJ63" s="59">
        <f t="shared" si="19"/>
        <v>74.194975106783971</v>
      </c>
      <c r="AK63" s="55"/>
      <c r="AL63" s="55"/>
      <c r="AM63" s="21">
        <f t="shared" si="81"/>
        <v>0</v>
      </c>
      <c r="AN63" s="54">
        <v>10.07</v>
      </c>
      <c r="AO63" s="55"/>
      <c r="AP63" s="21">
        <f t="shared" si="62"/>
        <v>0</v>
      </c>
      <c r="AQ63" s="55"/>
      <c r="AR63" s="55">
        <v>0</v>
      </c>
      <c r="AS63" s="21">
        <f t="shared" si="63"/>
        <v>0</v>
      </c>
      <c r="AT63" s="54"/>
      <c r="AU63" s="54"/>
      <c r="AV63" s="21">
        <f t="shared" si="64"/>
        <v>0</v>
      </c>
      <c r="AW63" s="54"/>
      <c r="AX63" s="54"/>
      <c r="AY63" s="21">
        <f t="shared" si="65"/>
        <v>0</v>
      </c>
      <c r="AZ63" s="54"/>
      <c r="BA63" s="54"/>
      <c r="BB63" s="21">
        <f t="shared" si="66"/>
        <v>0</v>
      </c>
      <c r="BC63" s="54"/>
      <c r="BD63" s="54"/>
      <c r="BE63" s="21">
        <f t="shared" si="67"/>
        <v>0</v>
      </c>
      <c r="BF63" s="55"/>
      <c r="BG63" s="55"/>
      <c r="BH63" s="21">
        <f t="shared" si="68"/>
        <v>0</v>
      </c>
      <c r="BI63" s="55"/>
      <c r="BJ63" s="55"/>
      <c r="BK63" s="21">
        <f t="shared" si="69"/>
        <v>0</v>
      </c>
      <c r="BL63" s="55">
        <v>0</v>
      </c>
      <c r="BM63" s="55">
        <v>0</v>
      </c>
      <c r="BN63" s="21">
        <f t="shared" si="52"/>
        <v>0</v>
      </c>
      <c r="BO63" s="55">
        <v>0</v>
      </c>
      <c r="BP63" s="55">
        <v>0</v>
      </c>
      <c r="BQ63" s="21">
        <f t="shared" si="53"/>
        <v>0</v>
      </c>
      <c r="BR63" s="55">
        <v>0</v>
      </c>
      <c r="BS63" s="21">
        <f t="shared" si="70"/>
        <v>0</v>
      </c>
      <c r="BT63" s="56">
        <v>9.43</v>
      </c>
      <c r="BU63" s="56">
        <v>5.46</v>
      </c>
      <c r="BV63" s="21">
        <f t="shared" si="82"/>
        <v>25.7439</v>
      </c>
      <c r="BW63" s="77">
        <f t="shared" si="33"/>
        <v>9.43</v>
      </c>
      <c r="BX63" s="55"/>
      <c r="BY63" s="21">
        <f t="shared" si="83"/>
        <v>0</v>
      </c>
      <c r="BZ63" s="55"/>
      <c r="CA63" s="55"/>
      <c r="CB63" s="21">
        <f t="shared" si="84"/>
        <v>0</v>
      </c>
      <c r="CC63" s="54"/>
      <c r="CD63" s="54"/>
      <c r="CE63" s="21">
        <f t="shared" si="85"/>
        <v>0</v>
      </c>
      <c r="CF63" s="21"/>
      <c r="CG63" s="21"/>
      <c r="CH63" s="21">
        <f t="shared" si="37"/>
        <v>0</v>
      </c>
      <c r="CI63" s="25">
        <f t="shared" si="38"/>
        <v>25.7439</v>
      </c>
      <c r="CJ63" s="54"/>
      <c r="CK63" s="21">
        <f t="shared" si="71"/>
        <v>0</v>
      </c>
      <c r="CL63" s="55"/>
      <c r="CM63" s="55" t="s">
        <v>219</v>
      </c>
      <c r="CN63" s="60">
        <v>40717</v>
      </c>
      <c r="CO63" s="55" t="s">
        <v>220</v>
      </c>
      <c r="CP63" s="55">
        <v>0</v>
      </c>
      <c r="CQ63" s="55">
        <v>0</v>
      </c>
      <c r="CR63" s="55">
        <v>0</v>
      </c>
      <c r="CS63" s="55">
        <v>0</v>
      </c>
      <c r="CT63" s="55"/>
      <c r="CU63" s="55"/>
      <c r="CV63" s="55"/>
      <c r="CW63" s="55"/>
      <c r="CX63" s="55"/>
      <c r="CY63" s="21">
        <f t="shared" si="72"/>
        <v>0</v>
      </c>
      <c r="CZ63" s="56"/>
      <c r="DA63" s="56"/>
      <c r="DB63" s="56"/>
      <c r="DC63" s="56"/>
      <c r="DD63" s="61">
        <f t="shared" si="41"/>
        <v>0</v>
      </c>
      <c r="DE63" s="21">
        <f t="shared" si="42"/>
        <v>0</v>
      </c>
      <c r="DF63" s="55">
        <v>17</v>
      </c>
      <c r="DG63" s="55"/>
      <c r="DH63" s="55"/>
      <c r="DI63" s="55"/>
      <c r="DJ63" s="104"/>
      <c r="DK63" s="50" t="s">
        <v>221</v>
      </c>
      <c r="DM63" s="58">
        <f t="shared" si="43"/>
        <v>1839.9089024711645</v>
      </c>
      <c r="DN63" s="58">
        <f t="shared" si="73"/>
        <v>792.4</v>
      </c>
      <c r="DO63" s="21">
        <f t="shared" si="74"/>
        <v>0.4306734963539417</v>
      </c>
      <c r="DP63" s="62">
        <f t="shared" si="79"/>
        <v>1.097093656489158</v>
      </c>
      <c r="DQ63" s="7">
        <v>0</v>
      </c>
      <c r="DR63" s="107" t="str">
        <f t="shared" si="47"/>
        <v>yes</v>
      </c>
    </row>
    <row r="64" spans="1:122" ht="12.75" customHeight="1" x14ac:dyDescent="0.2">
      <c r="A64" s="53" t="s">
        <v>229</v>
      </c>
      <c r="B64" s="54">
        <v>2</v>
      </c>
      <c r="C64" s="92">
        <f t="shared" si="75"/>
        <v>90.814107896614118</v>
      </c>
      <c r="D64" s="92">
        <f t="shared" si="76"/>
        <v>87.095408654117989</v>
      </c>
      <c r="E64" s="92">
        <f>VLOOKUP(A64,[3]TRTOTAL!$A$7:$D$313,3,FALSE)</f>
        <v>90.814107896614118</v>
      </c>
      <c r="F64" s="92">
        <f>VLOOKUP(A64,[3]TRTOTAL!$A$7:$D$313,4,FALSE)</f>
        <v>87.095408654117989</v>
      </c>
      <c r="G64" s="92">
        <f t="shared" si="48"/>
        <v>0</v>
      </c>
      <c r="H64" s="92">
        <f t="shared" si="49"/>
        <v>0</v>
      </c>
      <c r="I64" s="54">
        <v>6.07</v>
      </c>
      <c r="J64" s="56">
        <v>6.06</v>
      </c>
      <c r="K64" s="54">
        <v>2.92</v>
      </c>
      <c r="L64" s="58">
        <v>2</v>
      </c>
      <c r="M64" s="57"/>
      <c r="N64" s="57">
        <v>132</v>
      </c>
      <c r="O64" s="87"/>
      <c r="P64" s="24">
        <f t="shared" si="54"/>
        <v>22.119999999999997</v>
      </c>
      <c r="Q64" s="24">
        <f t="shared" si="86"/>
        <v>10.29</v>
      </c>
      <c r="R64" s="24">
        <f t="shared" si="77"/>
        <v>4.2978166666666668</v>
      </c>
      <c r="S64" s="87">
        <v>10.7</v>
      </c>
      <c r="T64" s="21">
        <f t="shared" si="55"/>
        <v>6.3826000000000001</v>
      </c>
      <c r="U64" s="21"/>
      <c r="V64" s="24">
        <f t="shared" si="78"/>
        <v>2.36</v>
      </c>
      <c r="W64" s="24">
        <f t="shared" si="56"/>
        <v>2.5249999999999999</v>
      </c>
      <c r="X64" s="24">
        <f t="shared" si="57"/>
        <v>3.4694637780609745</v>
      </c>
      <c r="Y64" s="25">
        <f t="shared" si="9"/>
        <v>1</v>
      </c>
      <c r="Z64" s="24">
        <f t="shared" si="10"/>
        <v>21.524775605263027</v>
      </c>
      <c r="AA64" s="21">
        <f t="shared" si="58"/>
        <v>2.5826673076537867</v>
      </c>
      <c r="AB64" s="24">
        <f t="shared" si="12"/>
        <v>4.1133997911463096</v>
      </c>
      <c r="AC64" s="24">
        <f t="shared" si="59"/>
        <v>28.964833423560318</v>
      </c>
      <c r="AD64" s="58">
        <f t="shared" si="60"/>
        <v>276</v>
      </c>
      <c r="AE64" s="58">
        <f t="shared" si="61"/>
        <v>282</v>
      </c>
      <c r="AF64" s="21">
        <f t="shared" si="16"/>
        <v>3.8614000000000002</v>
      </c>
      <c r="AG64" s="77">
        <f t="shared" si="17"/>
        <v>0</v>
      </c>
      <c r="AH64" s="114">
        <f t="shared" si="50"/>
        <v>1</v>
      </c>
      <c r="AI64" s="59">
        <f t="shared" si="18"/>
        <v>85.960904847128106</v>
      </c>
      <c r="AJ64" s="59">
        <f t="shared" si="19"/>
        <v>82.440936869209835</v>
      </c>
      <c r="AK64" s="55">
        <v>10.29</v>
      </c>
      <c r="AL64" s="55">
        <v>2.36</v>
      </c>
      <c r="AM64" s="21">
        <f t="shared" si="81"/>
        <v>12.142199999999999</v>
      </c>
      <c r="AN64" s="54">
        <v>10.29</v>
      </c>
      <c r="AO64" s="55">
        <v>0.15</v>
      </c>
      <c r="AP64" s="21">
        <f t="shared" si="62"/>
        <v>1.0289999999999999</v>
      </c>
      <c r="AQ64" s="55">
        <v>2.4700000000000002</v>
      </c>
      <c r="AR64" s="55">
        <v>0</v>
      </c>
      <c r="AS64" s="21">
        <f t="shared" si="63"/>
        <v>0</v>
      </c>
      <c r="AT64" s="54">
        <v>9.82</v>
      </c>
      <c r="AU64" s="54">
        <v>0.77</v>
      </c>
      <c r="AV64" s="21">
        <f t="shared" si="64"/>
        <v>3.7807000000000004</v>
      </c>
      <c r="AW64" s="54"/>
      <c r="AX64" s="54"/>
      <c r="AY64" s="21">
        <f t="shared" si="65"/>
        <v>0</v>
      </c>
      <c r="AZ64" s="54">
        <v>9.6300000000000008</v>
      </c>
      <c r="BA64" s="54">
        <v>0.53</v>
      </c>
      <c r="BB64" s="21">
        <f t="shared" si="66"/>
        <v>3.4026000000000001</v>
      </c>
      <c r="BC64" s="54"/>
      <c r="BD64" s="54"/>
      <c r="BE64" s="21">
        <f t="shared" si="67"/>
        <v>0</v>
      </c>
      <c r="BF64" s="55"/>
      <c r="BG64" s="55"/>
      <c r="BH64" s="21">
        <f t="shared" si="68"/>
        <v>0</v>
      </c>
      <c r="BI64" s="55"/>
      <c r="BJ64" s="55"/>
      <c r="BK64" s="21">
        <f t="shared" si="69"/>
        <v>0</v>
      </c>
      <c r="BL64" s="55"/>
      <c r="BM64" s="55"/>
      <c r="BN64" s="21">
        <f t="shared" si="52"/>
        <v>0</v>
      </c>
      <c r="BO64" s="55"/>
      <c r="BP64" s="55"/>
      <c r="BQ64" s="21">
        <f t="shared" si="53"/>
        <v>0</v>
      </c>
      <c r="BR64" s="55"/>
      <c r="BS64" s="21">
        <f t="shared" si="70"/>
        <v>20.354499999999998</v>
      </c>
      <c r="BT64" s="56">
        <v>6.79</v>
      </c>
      <c r="BU64" s="56">
        <v>1.29</v>
      </c>
      <c r="BV64" s="21">
        <f t="shared" si="82"/>
        <v>4.3795500000000001</v>
      </c>
      <c r="BW64" s="77">
        <f t="shared" si="33"/>
        <v>6.79</v>
      </c>
      <c r="BX64" s="55">
        <v>-0.02</v>
      </c>
      <c r="BY64" s="21">
        <f t="shared" si="83"/>
        <v>-9.0533333333333341E-2</v>
      </c>
      <c r="BZ64" s="55">
        <v>1.32</v>
      </c>
      <c r="CA64" s="55">
        <v>0.01</v>
      </c>
      <c r="CB64" s="21">
        <f t="shared" si="84"/>
        <v>8.8000000000000005E-3</v>
      </c>
      <c r="CC64" s="54">
        <v>6.45</v>
      </c>
      <c r="CD64" s="54">
        <v>0</v>
      </c>
      <c r="CE64" s="21">
        <f t="shared" si="85"/>
        <v>0</v>
      </c>
      <c r="CF64" s="21"/>
      <c r="CG64" s="21"/>
      <c r="CH64" s="21">
        <f t="shared" si="37"/>
        <v>0</v>
      </c>
      <c r="CI64" s="25">
        <f t="shared" si="38"/>
        <v>4.2978166666666668</v>
      </c>
      <c r="CJ64" s="54">
        <v>0.33</v>
      </c>
      <c r="CK64" s="21">
        <f t="shared" si="71"/>
        <v>1.7655000000000001</v>
      </c>
      <c r="CL64" s="55">
        <v>1116</v>
      </c>
      <c r="CM64" s="55" t="s">
        <v>230</v>
      </c>
      <c r="CN64" s="60">
        <v>39605</v>
      </c>
      <c r="CO64" s="55" t="s">
        <v>142</v>
      </c>
      <c r="CP64" s="55" t="s">
        <v>231</v>
      </c>
      <c r="CQ64" s="55" t="s">
        <v>232</v>
      </c>
      <c r="CR64" s="55"/>
      <c r="CS64" s="55">
        <v>0</v>
      </c>
      <c r="CT64" s="55"/>
      <c r="CU64" s="55"/>
      <c r="CV64" s="55"/>
      <c r="CW64" s="55"/>
      <c r="CX64" s="55"/>
      <c r="CY64" s="21">
        <f t="shared" si="72"/>
        <v>0</v>
      </c>
      <c r="CZ64" s="56">
        <v>4.4400000000000004</v>
      </c>
      <c r="DA64" s="56">
        <v>9.08</v>
      </c>
      <c r="DB64" s="56">
        <v>8.1199999999999992</v>
      </c>
      <c r="DC64" s="56">
        <v>3.38</v>
      </c>
      <c r="DD64" s="61">
        <f t="shared" si="41"/>
        <v>0.76126126126126115</v>
      </c>
      <c r="DE64" s="21">
        <f t="shared" si="42"/>
        <v>25.742666666666668</v>
      </c>
      <c r="DF64" s="55"/>
      <c r="DG64" s="55"/>
      <c r="DH64" s="55"/>
      <c r="DI64" s="55"/>
      <c r="DJ64" s="104"/>
      <c r="DK64"/>
      <c r="DM64" s="58">
        <f t="shared" si="43"/>
        <v>1271.8452625163807</v>
      </c>
      <c r="DN64" s="58">
        <f t="shared" si="73"/>
        <v>771.96</v>
      </c>
      <c r="DO64" s="21">
        <f t="shared" si="74"/>
        <v>0.60696062858515987</v>
      </c>
      <c r="DP64" s="62">
        <f t="shared" si="79"/>
        <v>1.0564582592297846</v>
      </c>
      <c r="DQ64" s="7">
        <v>0</v>
      </c>
      <c r="DR64" s="107">
        <f t="shared" si="47"/>
        <v>0</v>
      </c>
    </row>
    <row r="65" spans="1:1033" ht="12.75" customHeight="1" x14ac:dyDescent="0.2">
      <c r="A65" s="53" t="s">
        <v>233</v>
      </c>
      <c r="B65" s="57">
        <v>3</v>
      </c>
      <c r="C65" s="92">
        <f t="shared" si="75"/>
        <v>99.801488787840057</v>
      </c>
      <c r="D65" s="92">
        <f t="shared" si="76"/>
        <v>95.106094977617019</v>
      </c>
      <c r="E65" s="92">
        <f>VLOOKUP(A65,[3]TRTOTAL!$A$7:$D$313,3,FALSE)</f>
        <v>99.801488787840057</v>
      </c>
      <c r="F65" s="92">
        <f>VLOOKUP(A65,[3]TRTOTAL!$A$7:$D$313,4,FALSE)</f>
        <v>95.106094977617019</v>
      </c>
      <c r="G65" s="92">
        <f t="shared" si="48"/>
        <v>0</v>
      </c>
      <c r="H65" s="92">
        <f t="shared" si="49"/>
        <v>0</v>
      </c>
      <c r="I65" s="54">
        <v>7.66</v>
      </c>
      <c r="J65" s="56">
        <v>7.66</v>
      </c>
      <c r="K65" s="54">
        <v>4</v>
      </c>
      <c r="L65" s="57">
        <v>3</v>
      </c>
      <c r="M65" s="57">
        <v>960</v>
      </c>
      <c r="N65" s="57"/>
      <c r="O65" s="87"/>
      <c r="P65" s="21">
        <f t="shared" si="54"/>
        <v>42.432303333333337</v>
      </c>
      <c r="Q65" s="24">
        <f t="shared" si="86"/>
        <v>13.39</v>
      </c>
      <c r="R65" s="21">
        <f t="shared" si="77"/>
        <v>12.637163333333335</v>
      </c>
      <c r="S65" s="87">
        <v>13.8</v>
      </c>
      <c r="T65" s="21">
        <f t="shared" si="55"/>
        <v>9.8417999999999992</v>
      </c>
      <c r="U65"/>
      <c r="V65" s="24">
        <f t="shared" si="78"/>
        <v>3.8460000000000001</v>
      </c>
      <c r="W65" s="24">
        <f t="shared" si="56"/>
        <v>4.0934999999999997</v>
      </c>
      <c r="X65" s="24">
        <f t="shared" si="57"/>
        <v>2.5322525524514372</v>
      </c>
      <c r="Y65" s="25">
        <f t="shared" si="9"/>
        <v>1</v>
      </c>
      <c r="Z65" s="24">
        <f t="shared" si="10"/>
        <v>37.568470560798644</v>
      </c>
      <c r="AA65" s="21">
        <f t="shared" si="58"/>
        <v>2.2961147220047935</v>
      </c>
      <c r="AB65" s="24">
        <f t="shared" si="12"/>
        <v>11.675625868533089</v>
      </c>
      <c r="AC65" s="24">
        <f t="shared" si="59"/>
        <v>55.777365066422433</v>
      </c>
      <c r="AD65" s="58">
        <f t="shared" si="60"/>
        <v>1185</v>
      </c>
      <c r="AE65" s="58">
        <f t="shared" si="61"/>
        <v>1191</v>
      </c>
      <c r="AF65" s="21">
        <f t="shared" si="16"/>
        <v>8.0510999999999999</v>
      </c>
      <c r="AG65" s="77">
        <f t="shared" si="17"/>
        <v>0</v>
      </c>
      <c r="AH65" s="114">
        <f t="shared" si="50"/>
        <v>1</v>
      </c>
      <c r="AI65" s="59">
        <f t="shared" si="18"/>
        <v>99.094676309651973</v>
      </c>
      <c r="AJ65" s="59">
        <f t="shared" si="19"/>
        <v>94.432536140986599</v>
      </c>
      <c r="AK65" s="56">
        <v>13.39</v>
      </c>
      <c r="AL65" s="55">
        <v>3.8460000000000001</v>
      </c>
      <c r="AM65" s="21">
        <f t="shared" si="81"/>
        <v>25.74897</v>
      </c>
      <c r="AN65" s="56">
        <v>13.39</v>
      </c>
      <c r="AO65" s="56">
        <v>0.33500000000000002</v>
      </c>
      <c r="AP65" s="21">
        <f t="shared" si="62"/>
        <v>2.9904333333333337</v>
      </c>
      <c r="AQ65" s="56">
        <v>3.92</v>
      </c>
      <c r="AR65" s="56">
        <v>0.03</v>
      </c>
      <c r="AS65" s="21">
        <f t="shared" si="63"/>
        <v>7.8399999999999997E-2</v>
      </c>
      <c r="AT65" s="56">
        <v>13.3</v>
      </c>
      <c r="AU65" s="56">
        <v>1.17</v>
      </c>
      <c r="AV65" s="21">
        <f t="shared" si="64"/>
        <v>7.7805</v>
      </c>
      <c r="AW65" s="56">
        <v>3.49</v>
      </c>
      <c r="AX65" s="56">
        <v>0.12</v>
      </c>
      <c r="AY65" s="21">
        <f t="shared" si="65"/>
        <v>0.2094</v>
      </c>
      <c r="AZ65" s="56">
        <v>10.07</v>
      </c>
      <c r="BA65" s="56">
        <v>0.255</v>
      </c>
      <c r="BB65" s="21">
        <f t="shared" si="66"/>
        <v>1.7119</v>
      </c>
      <c r="BC65" s="56">
        <v>3.39</v>
      </c>
      <c r="BD65" s="56">
        <v>0.22</v>
      </c>
      <c r="BE65" s="21">
        <f t="shared" si="67"/>
        <v>0.49720000000000003</v>
      </c>
      <c r="BF65" s="56"/>
      <c r="BG65" s="56"/>
      <c r="BH65" s="21">
        <f t="shared" si="68"/>
        <v>0</v>
      </c>
      <c r="BI65" s="56"/>
      <c r="BJ65" s="56"/>
      <c r="BK65" s="21">
        <f t="shared" si="69"/>
        <v>0</v>
      </c>
      <c r="BL65" s="56"/>
      <c r="BM65" s="56"/>
      <c r="BN65" s="21">
        <f t="shared" si="52"/>
        <v>0</v>
      </c>
      <c r="BO65" s="56"/>
      <c r="BP65" s="56"/>
      <c r="BQ65" s="21">
        <f t="shared" si="53"/>
        <v>0</v>
      </c>
      <c r="BR65" s="56"/>
      <c r="BS65" s="21">
        <f t="shared" si="70"/>
        <v>39.016803333333336</v>
      </c>
      <c r="BT65" s="56">
        <v>10.47</v>
      </c>
      <c r="BU65" s="56">
        <v>2.3460000000000001</v>
      </c>
      <c r="BV65" s="21">
        <f t="shared" si="82"/>
        <v>12.281310000000001</v>
      </c>
      <c r="BW65" s="77">
        <f t="shared" si="33"/>
        <v>10.47</v>
      </c>
      <c r="BX65" s="55">
        <v>3.4000000000000002E-2</v>
      </c>
      <c r="BY65" s="21">
        <f t="shared" si="83"/>
        <v>0.23732000000000006</v>
      </c>
      <c r="BZ65" s="56">
        <v>2.54</v>
      </c>
      <c r="CA65" s="56">
        <v>7.0000000000000007E-2</v>
      </c>
      <c r="CB65" s="21">
        <f t="shared" si="84"/>
        <v>0.11853333333333334</v>
      </c>
      <c r="CC65" s="56"/>
      <c r="CD65" s="56"/>
      <c r="CE65" s="21">
        <f t="shared" si="85"/>
        <v>0</v>
      </c>
      <c r="CF65" s="21"/>
      <c r="CG65" s="21"/>
      <c r="CH65" s="21">
        <f t="shared" si="37"/>
        <v>0</v>
      </c>
      <c r="CI65" s="25">
        <f t="shared" si="38"/>
        <v>12.637163333333335</v>
      </c>
      <c r="CJ65" s="56">
        <v>0.495</v>
      </c>
      <c r="CK65" s="21">
        <f t="shared" si="71"/>
        <v>3.4155000000000002</v>
      </c>
      <c r="CL65" s="57" t="s">
        <v>234</v>
      </c>
      <c r="CM65" s="57" t="s">
        <v>235</v>
      </c>
      <c r="CN65" s="57">
        <v>37410</v>
      </c>
      <c r="CO65" s="57" t="s">
        <v>236</v>
      </c>
      <c r="CP65" s="57"/>
      <c r="CQ65" s="57">
        <v>15393</v>
      </c>
      <c r="CR65" s="57"/>
      <c r="CS65" s="57"/>
      <c r="CT65" s="57"/>
      <c r="CU65" s="57"/>
      <c r="CV65" s="57"/>
      <c r="CW65" s="57"/>
      <c r="CX65" s="57"/>
      <c r="CY65" s="58">
        <f t="shared" si="72"/>
        <v>0</v>
      </c>
      <c r="CZ65" s="56">
        <v>6.8</v>
      </c>
      <c r="DA65" s="56">
        <v>12.46</v>
      </c>
      <c r="DB65" s="56">
        <v>10.38</v>
      </c>
      <c r="DC65" s="56">
        <v>5.35</v>
      </c>
      <c r="DD65" s="61">
        <f t="shared" si="41"/>
        <v>0.78676470588235292</v>
      </c>
      <c r="DE65" s="21">
        <f t="shared" si="42"/>
        <v>53.674000000000007</v>
      </c>
      <c r="DF65" s="55"/>
      <c r="DG65" s="56"/>
      <c r="DH65" s="56"/>
      <c r="DI65" s="55"/>
      <c r="DJ65" s="104"/>
      <c r="DK65" s="56"/>
      <c r="DM65" s="58">
        <f t="shared" si="43"/>
        <v>3248.2404816350063</v>
      </c>
      <c r="DN65" s="58">
        <f t="shared" si="73"/>
        <v>3045</v>
      </c>
      <c r="DO65" s="21">
        <f t="shared" si="74"/>
        <v>0.93743059272116913</v>
      </c>
      <c r="DP65" s="62">
        <f t="shared" si="79"/>
        <v>1.0071326987938225</v>
      </c>
      <c r="DQ65" s="7">
        <v>0</v>
      </c>
      <c r="DR65" s="107">
        <f t="shared" si="47"/>
        <v>0</v>
      </c>
    </row>
    <row r="66" spans="1:1033" ht="12.75" customHeight="1" x14ac:dyDescent="0.2">
      <c r="A66" s="53" t="s">
        <v>591</v>
      </c>
      <c r="B66" s="54">
        <v>1</v>
      </c>
      <c r="C66" s="92">
        <f t="shared" si="75"/>
        <v>107.99246274269538</v>
      </c>
      <c r="D66" s="92">
        <f t="shared" si="76"/>
        <v>102.88738028662762</v>
      </c>
      <c r="E66" s="92" t="e">
        <f>VLOOKUP(A66,[3]TRTOTAL!$A$7:$D$313,3,FALSE)</f>
        <v>#N/A</v>
      </c>
      <c r="F66" s="92" t="e">
        <f>VLOOKUP(A66,[3]TRTOTAL!$A$7:$D$313,4,FALSE)</f>
        <v>#N/A</v>
      </c>
      <c r="G66" s="92" t="e">
        <f t="shared" si="48"/>
        <v>#N/A</v>
      </c>
      <c r="H66" s="92" t="e">
        <f t="shared" si="49"/>
        <v>#N/A</v>
      </c>
      <c r="I66" s="54">
        <v>5</v>
      </c>
      <c r="J66" s="56">
        <v>5</v>
      </c>
      <c r="K66" s="54">
        <v>2.5</v>
      </c>
      <c r="L66" s="57">
        <v>1</v>
      </c>
      <c r="M66" s="57"/>
      <c r="N66" s="57">
        <v>119</v>
      </c>
      <c r="O66" s="87"/>
      <c r="P66" s="24">
        <f t="shared" ref="P66:P95" si="87">marea+areaMast+mssam+mareNoDet</f>
        <v>15</v>
      </c>
      <c r="Q66" s="24">
        <f t="shared" si="86"/>
        <v>8.48</v>
      </c>
      <c r="R66" s="24">
        <f t="shared" si="77"/>
        <v>0</v>
      </c>
      <c r="S66" s="87">
        <v>8.5</v>
      </c>
      <c r="T66" s="21">
        <f t="shared" ref="T66:T95" si="88">IF(gs_1,gs_1*0.94,VlgNoDetails)</f>
        <v>0</v>
      </c>
      <c r="U66" s="21"/>
      <c r="V66" s="24">
        <f t="shared" si="78"/>
        <v>2.06</v>
      </c>
      <c r="W66" s="24">
        <f>IF(circMast,circMast/2,0.16)+V66</f>
        <v>2.2200000000000002</v>
      </c>
      <c r="X66" s="24">
        <f t="shared" ref="X66:X95" si="89">msam/e^2</f>
        <v>3.0435841246652053</v>
      </c>
      <c r="Y66" s="25">
        <f t="shared" si="9"/>
        <v>1</v>
      </c>
      <c r="Z66" s="24">
        <f>0.67*X66^0.3*msam*Y66</f>
        <v>14.034005900949326</v>
      </c>
      <c r="AA66" s="21">
        <f t="shared" ref="AA66:AA95" si="90">IF(lpg,msag/lpg^2,0)</f>
        <v>0</v>
      </c>
      <c r="AB66" s="24">
        <f>IF(AA66,0.72*AA66^0.3*msag,IF(msag,0.9*msag,0))</f>
        <v>0</v>
      </c>
      <c r="AC66" s="24">
        <f t="shared" ref="AC66:AC71" si="91">rsam+rsag+IF(rsascr,rsascr-jibred*rsag,rsas-jibred*rsag)</f>
        <v>16.659005900949325</v>
      </c>
      <c r="AD66" s="58">
        <f t="shared" ref="AD66:AD95" si="92">IF(wsex,wsex,wsin-6)+crew*(IF(AND(crew=1,msam+msag&gt;=11),75,IF(loa&lt;=4,65,IF(loa&lt;=4.8,70,75))))</f>
        <v>188</v>
      </c>
      <c r="AE66" s="58">
        <f t="shared" ref="AE66:AE95" si="93">IF(wsin,wsin,wsex+6)+crew*(IF(AND(crew=1,msam+msag&gt;=11),75,IF(loa&lt;=4,65,IF(loa&lt;=4.8,70,75))))</f>
        <v>194</v>
      </c>
      <c r="AF66" s="21">
        <f t="shared" ref="AF66:AF130" si="94">IF(sas,((sas)*0.15),IF(loa&lt;=4.87,IF(crew=1,14*0.15,17*0.15),IF(loa&lt;=5.8,IF(crew=1,17*0.15,21*0.15),IF(loa&lt;=6.71,IF(crew=1,20*0.15,25*0.15),0))))</f>
        <v>2.625</v>
      </c>
      <c r="AG66" s="77">
        <f t="shared" ref="AG66:AG130" si="95">IF(AND(ars&lt;0.75*(AND(ars&gt;0)),(sas/msam&gt;0.75)),(sas*(12/ars^1.1)*0.01),0)</f>
        <v>0</v>
      </c>
      <c r="AH66" s="114">
        <f t="shared" si="50"/>
        <v>1</v>
      </c>
      <c r="AI66" s="59">
        <f t="shared" ref="AI66:AI130" si="96">100/(1.15*rl^0.3*(rsam+rsag)^0.4/rwex^0.325)*corcb</f>
        <v>102.29155895356428</v>
      </c>
      <c r="AJ66" s="59">
        <f t="shared" ref="AJ66:AJ130" si="97">100/(1.15*rl^0.3*rsa^0.4/rwin^0.325)*corcb</f>
        <v>96.491062311250758</v>
      </c>
      <c r="AK66" s="55"/>
      <c r="AL66" s="55">
        <v>2.06</v>
      </c>
      <c r="AM66" s="21">
        <f t="shared" si="81"/>
        <v>0</v>
      </c>
      <c r="AN66" s="55">
        <v>8.48</v>
      </c>
      <c r="AO66" s="55"/>
      <c r="AP66" s="21">
        <f t="shared" ref="AP66:AP72" si="98">AN66*AO66*2/3</f>
        <v>0</v>
      </c>
      <c r="AQ66" s="55"/>
      <c r="AR66" s="55">
        <v>0</v>
      </c>
      <c r="AS66" s="21">
        <f t="shared" ref="AS66:AS72" si="99">AQ66*AR66*2/3</f>
        <v>0</v>
      </c>
      <c r="AT66" s="54"/>
      <c r="AU66" s="54"/>
      <c r="AV66" s="21">
        <f t="shared" ref="AV66:AV72" si="100">AT66*AU66*0.5</f>
        <v>0</v>
      </c>
      <c r="AW66" s="54"/>
      <c r="AX66" s="54"/>
      <c r="AY66" s="21">
        <f t="shared" ref="AY66:AY72" si="101">AW66*AX66*0.5</f>
        <v>0</v>
      </c>
      <c r="AZ66" s="54"/>
      <c r="BA66" s="54"/>
      <c r="BB66" s="21">
        <f t="shared" ref="BB66:BB72" si="102">AZ66*BA66*2/3</f>
        <v>0</v>
      </c>
      <c r="BC66" s="54"/>
      <c r="BD66" s="54"/>
      <c r="BE66" s="21">
        <f t="shared" ref="BE66:BE72" si="103">BC66*BD66*2/3</f>
        <v>0</v>
      </c>
      <c r="BF66" s="55"/>
      <c r="BG66" s="55"/>
      <c r="BH66" s="21">
        <f t="shared" ref="BH66:BH72" si="104">BF66*BG66*0.5</f>
        <v>0</v>
      </c>
      <c r="BI66" s="55"/>
      <c r="BJ66" s="55"/>
      <c r="BK66" s="21">
        <f t="shared" ref="BK66:BK72" si="105">BI66*BJ66*2/3</f>
        <v>0</v>
      </c>
      <c r="BL66" s="55"/>
      <c r="BM66" s="55"/>
      <c r="BN66" s="21">
        <f t="shared" si="52"/>
        <v>0</v>
      </c>
      <c r="BO66" s="55"/>
      <c r="BP66" s="55"/>
      <c r="BQ66" s="21">
        <f t="shared" si="53"/>
        <v>0</v>
      </c>
      <c r="BR66" s="55"/>
      <c r="BS66" s="21">
        <f t="shared" ref="BS66:BS72" si="106">AM66+AP66+AS66+AV66+AY66+BB66+BE66+BH66+BK66+BN66+BQ66</f>
        <v>0</v>
      </c>
      <c r="BT66" s="56">
        <v>0</v>
      </c>
      <c r="BU66" s="56"/>
      <c r="BV66" s="21">
        <f>BT66*BU66*0.5</f>
        <v>0</v>
      </c>
      <c r="BW66" s="77">
        <f>BT66-CF66</f>
        <v>0</v>
      </c>
      <c r="BX66" s="55"/>
      <c r="BY66" s="21">
        <f>BW66*BX66*2/3</f>
        <v>0</v>
      </c>
      <c r="BZ66" s="55"/>
      <c r="CA66" s="55"/>
      <c r="CB66" s="21">
        <f>BZ66*CA66*2/3</f>
        <v>0</v>
      </c>
      <c r="CC66" s="55"/>
      <c r="CD66" s="55"/>
      <c r="CE66" s="21">
        <f>CC66*CD66*2/3</f>
        <v>0</v>
      </c>
      <c r="CF66" s="21"/>
      <c r="CG66" s="21"/>
      <c r="CH66" s="21">
        <f>CF66*CG66*0.5</f>
        <v>0</v>
      </c>
      <c r="CI66" s="25">
        <f>BV66+BY66+CB66+CE66+CH66+DG66</f>
        <v>0</v>
      </c>
      <c r="CJ66" s="54"/>
      <c r="CK66" s="21">
        <f t="shared" ref="CK66:CK95" si="107">MastLength*circMast*0.5</f>
        <v>0</v>
      </c>
      <c r="CL66" s="55"/>
      <c r="CM66" s="55"/>
      <c r="CN66" s="60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21">
        <f>(CT66+4*CU66+2*CV66+4*CW66+CX66)*AN66/12</f>
        <v>0</v>
      </c>
      <c r="CZ66" s="56"/>
      <c r="DA66" s="56"/>
      <c r="DB66" s="56"/>
      <c r="DC66" s="56"/>
      <c r="DD66" s="61">
        <f>IF(CZ66,DC66/CZ66,smg_sf_no_details)</f>
        <v>0</v>
      </c>
      <c r="DE66" s="21">
        <f>IF(CZ66,CZ66*(DA66+DB66)/4+(DC66-CZ66/2)*(DA66+DB66)/3,sas_no_details)</f>
        <v>17.5</v>
      </c>
      <c r="DF66" s="55">
        <v>15</v>
      </c>
      <c r="DG66" s="55"/>
      <c r="DH66" s="55"/>
      <c r="DI66" s="55">
        <v>17.5</v>
      </c>
      <c r="DJ66" s="104"/>
      <c r="DK66" s="53" t="s">
        <v>129</v>
      </c>
      <c r="DM66" s="58">
        <f t="shared" ref="DM66:DM125" si="108">((0.42*vlm+IF(Decksweeper="yes",0.98,1))*msam+(0.33*vlg+1)*msag)*DynPress</f>
        <v>661.05349631999991</v>
      </c>
      <c r="DN66" s="58">
        <f t="shared" ref="DN66:DN95" si="109">IF(wsex,0.5*wsex*width+(rwex-wsex)*width+trapeze*(rwex-wsex)/crew,0.5*(wsin-6)*width+(rwin-wsin)*width+trapeze*(rwin-wsin)/crew)</f>
        <v>403.75</v>
      </c>
      <c r="DO66" s="21">
        <f t="shared" ref="DO66:DO95" si="110">righting/heeling</f>
        <v>0.61076751314019895</v>
      </c>
      <c r="DP66" s="62">
        <f t="shared" si="79"/>
        <v>1.0557319083554007</v>
      </c>
      <c r="DQ66" s="7" t="s">
        <v>130</v>
      </c>
      <c r="DR66" s="107" t="str">
        <f t="shared" ref="DR66:DR125" si="111">IF((vlm/MastLength)&gt;0.99,"yes",0)</f>
        <v>yes</v>
      </c>
    </row>
    <row r="67" spans="1:1033" ht="12.75" customHeight="1" x14ac:dyDescent="0.2">
      <c r="A67" s="53" t="s">
        <v>594</v>
      </c>
      <c r="B67" s="54">
        <v>2</v>
      </c>
      <c r="C67" s="92">
        <f t="shared" si="75"/>
        <v>106.79148956323066</v>
      </c>
      <c r="D67" s="92">
        <f t="shared" si="76"/>
        <v>102.57000160748831</v>
      </c>
      <c r="E67" s="92" t="e">
        <f>VLOOKUP(A67,[3]TRTOTAL!$A$7:$D$313,3,FALSE)</f>
        <v>#N/A</v>
      </c>
      <c r="F67" s="92" t="e">
        <f>VLOOKUP(A67,[3]TRTOTAL!$A$7:$D$313,4,FALSE)</f>
        <v>#N/A</v>
      </c>
      <c r="G67" s="92"/>
      <c r="H67" s="92"/>
      <c r="I67" s="54">
        <v>5</v>
      </c>
      <c r="J67" s="56">
        <v>5</v>
      </c>
      <c r="K67" s="54">
        <v>2.5</v>
      </c>
      <c r="L67" s="57">
        <v>2</v>
      </c>
      <c r="M67" s="57"/>
      <c r="N67" s="57">
        <v>123</v>
      </c>
      <c r="O67" s="87"/>
      <c r="P67" s="24">
        <f t="shared" si="87"/>
        <v>15</v>
      </c>
      <c r="Q67" s="24">
        <f>voorvlm1+voorllm2</f>
        <v>8.48</v>
      </c>
      <c r="R67" s="24">
        <f t="shared" si="77"/>
        <v>3.7</v>
      </c>
      <c r="S67" s="87">
        <v>8.5</v>
      </c>
      <c r="T67" s="21">
        <f>IF(gs_1,gs_1*0.94,VlgNoDetails)</f>
        <v>5.64</v>
      </c>
      <c r="U67" s="108"/>
      <c r="V67" s="24">
        <f t="shared" si="78"/>
        <v>2.06</v>
      </c>
      <c r="W67" s="24">
        <f>IF(circMast,circMast/2,0.16)+V67</f>
        <v>2.2200000000000002</v>
      </c>
      <c r="X67" s="24">
        <f>msam/e^2</f>
        <v>3.0435841246652053</v>
      </c>
      <c r="Y67" s="25">
        <f t="shared" si="9"/>
        <v>1</v>
      </c>
      <c r="Z67" s="24">
        <f>0.67*X67^0.3*msam*Y67</f>
        <v>14.034005900949326</v>
      </c>
      <c r="AA67" s="21">
        <f>IF(lpg,msag/lpg^2,0)</f>
        <v>0</v>
      </c>
      <c r="AB67" s="24">
        <f>IF(AA67,0.72*AA67^0.3*msag,IF(msag,0.9*msag,0))</f>
        <v>3.33</v>
      </c>
      <c r="AC67" s="24">
        <f>rsam+rsag+IF(rsascr,rsascr-jibred*rsag,rsas-jibred*rsag)</f>
        <v>19.556105900949326</v>
      </c>
      <c r="AD67" s="58">
        <f>IF(wsex,wsex,wsin-6)+crew*(IF(AND(crew=1,msam+msag&gt;=11),75,IF(loa&lt;=4,65,IF(loa&lt;=4.8,70,75))))</f>
        <v>267</v>
      </c>
      <c r="AE67" s="58">
        <f>IF(wsin,wsin,wsex+6)+crew*(IF(AND(crew=1,msam+msag&gt;=11),75,IF(loa&lt;=4,65,IF(loa&lt;=4.8,70,75))))</f>
        <v>273</v>
      </c>
      <c r="AF67" s="21">
        <f>IF(sas,((sas)*0.15),IF(loa&lt;=4.87,IF(crew=1,14*0.15,17*0.15),IF(loa&lt;=5.8,IF(crew=1,17*0.15,21*0.15),IF(loa&lt;=6.71,IF(crew=1,20*0.15,25*0.15),0))))</f>
        <v>2.625</v>
      </c>
      <c r="AG67" s="77">
        <f>IF(AND(ars&lt;0.75*(AND(ars&gt;0)),(sas/msam&gt;0.75)),(sas*(12/ars^1.1)*0.01),0)</f>
        <v>0</v>
      </c>
      <c r="AH67" s="114">
        <f t="shared" si="50"/>
        <v>1</v>
      </c>
      <c r="AI67" s="59">
        <f>100/(1.15*rl^0.3*(rsam+rsag)^0.4/rwex^0.325)*corcb</f>
        <v>105.28520531670198</v>
      </c>
      <c r="AJ67" s="59">
        <f>100/(1.15*rl^0.3*rsa^0.4/rwin^0.325)*corcb</f>
        <v>101.12326106458856</v>
      </c>
      <c r="AK67" s="55"/>
      <c r="AL67" s="55">
        <v>2.06</v>
      </c>
      <c r="AM67" s="21">
        <f>AK67*AL67*0.5</f>
        <v>0</v>
      </c>
      <c r="AN67" s="55">
        <v>8.48</v>
      </c>
      <c r="AO67" s="55"/>
      <c r="AP67" s="21">
        <f>AN67*AO67*2/3</f>
        <v>0</v>
      </c>
      <c r="AQ67" s="55"/>
      <c r="AR67" s="55">
        <v>0</v>
      </c>
      <c r="AS67" s="21">
        <f>AQ67*AR67*2/3</f>
        <v>0</v>
      </c>
      <c r="AT67" s="54"/>
      <c r="AU67" s="54"/>
      <c r="AV67" s="21">
        <f>AT67*AU67*0.5</f>
        <v>0</v>
      </c>
      <c r="AW67" s="54"/>
      <c r="AX67" s="54"/>
      <c r="AY67" s="21">
        <f>AW67*AX67*0.5</f>
        <v>0</v>
      </c>
      <c r="AZ67" s="54"/>
      <c r="BA67" s="54"/>
      <c r="BB67" s="21">
        <f>AZ67*BA67*2/3</f>
        <v>0</v>
      </c>
      <c r="BC67" s="54"/>
      <c r="BD67" s="54"/>
      <c r="BE67" s="21">
        <f>BC67*BD67*2/3</f>
        <v>0</v>
      </c>
      <c r="BF67" s="55"/>
      <c r="BG67" s="55"/>
      <c r="BH67" s="21">
        <f>BF67*BG67*0.5</f>
        <v>0</v>
      </c>
      <c r="BI67" s="55"/>
      <c r="BJ67" s="55"/>
      <c r="BK67" s="21">
        <f>BI67*BJ67*2/3</f>
        <v>0</v>
      </c>
      <c r="BL67" s="55"/>
      <c r="BM67" s="55"/>
      <c r="BN67" s="21">
        <f>BL67*BM67*0.5</f>
        <v>0</v>
      </c>
      <c r="BO67" s="55"/>
      <c r="BP67" s="55"/>
      <c r="BQ67" s="21">
        <f>BO67*BP67*0.5</f>
        <v>0</v>
      </c>
      <c r="BR67" s="55"/>
      <c r="BS67" s="21">
        <f>AM67+AP67+AS67+AV67+AY67+BB67+BE67+BH67+BK67+BN67+BQ67</f>
        <v>0</v>
      </c>
      <c r="BT67" s="56">
        <v>0</v>
      </c>
      <c r="BU67" s="56"/>
      <c r="BV67" s="21">
        <f>BT67*BU67*0.5</f>
        <v>0</v>
      </c>
      <c r="BW67" s="77">
        <f>BT67-CF67</f>
        <v>0</v>
      </c>
      <c r="BX67" s="55"/>
      <c r="BY67" s="21">
        <f>BW67*BX67*2/3</f>
        <v>0</v>
      </c>
      <c r="BZ67" s="55"/>
      <c r="CA67" s="55"/>
      <c r="CB67" s="21">
        <f>BZ67*CA67*2/3</f>
        <v>0</v>
      </c>
      <c r="CC67" s="54"/>
      <c r="CD67" s="54"/>
      <c r="CE67" s="21">
        <f>CC67*CD67*2/3</f>
        <v>0</v>
      </c>
      <c r="CF67" s="21"/>
      <c r="CG67" s="21"/>
      <c r="CH67" s="21">
        <f>CF67*CG67*0.5</f>
        <v>0</v>
      </c>
      <c r="CI67" s="25">
        <f>BV67+BY67+CB67+CE67+CH67+DG67</f>
        <v>3.7</v>
      </c>
      <c r="CJ67" s="54"/>
      <c r="CK67" s="21">
        <f>MastLength*circMast*0.5</f>
        <v>0</v>
      </c>
      <c r="CL67" s="55"/>
      <c r="CM67" s="55"/>
      <c r="CN67" s="60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21">
        <f>(CT67+4*CU67+2*CV67+4*CW67+CX67)*AN67/12</f>
        <v>0</v>
      </c>
      <c r="CZ67" s="56"/>
      <c r="DA67" s="56"/>
      <c r="DB67" s="56"/>
      <c r="DC67" s="56"/>
      <c r="DD67" s="61">
        <f>IF(CZ67,DC67/CZ67,smg_sf_no_details)</f>
        <v>0</v>
      </c>
      <c r="DE67" s="21">
        <f>IF(CZ67,CZ67*(DA67+DB67)/4+(DC67-CZ67/2)*(DA67+DB67)/3,sas_no_details)</f>
        <v>17.5</v>
      </c>
      <c r="DF67" s="55">
        <v>15</v>
      </c>
      <c r="DG67" s="55">
        <v>3.7</v>
      </c>
      <c r="DH67" s="55">
        <v>5.64</v>
      </c>
      <c r="DI67" s="55">
        <v>17.5</v>
      </c>
      <c r="DJ67" s="104"/>
      <c r="DK67" s="53" t="s">
        <v>129</v>
      </c>
      <c r="DM67" s="58">
        <f t="shared" si="108"/>
        <v>763.78092241919978</v>
      </c>
      <c r="DN67" s="58">
        <f>IF(wsex,0.5*wsex*width+(rwex-wsex)*width+trapeze*(rwex-wsex)/crew,0.5*(wsin-6)*width+(rwin-wsin)*width+trapeze*(rwin-wsin)/crew)</f>
        <v>671.25</v>
      </c>
      <c r="DO67" s="21">
        <f>righting/heeling</f>
        <v>0.8788514877720206</v>
      </c>
      <c r="DP67" s="62">
        <f t="shared" si="79"/>
        <v>1.014306703795635</v>
      </c>
      <c r="DQ67" s="7" t="s">
        <v>130</v>
      </c>
      <c r="DR67" s="107" t="str">
        <f t="shared" si="111"/>
        <v>yes</v>
      </c>
    </row>
    <row r="68" spans="1:1033" ht="12.75" customHeight="1" x14ac:dyDescent="0.2">
      <c r="A68" s="53" t="s">
        <v>237</v>
      </c>
      <c r="B68" s="54">
        <v>2</v>
      </c>
      <c r="C68" s="92">
        <f>AI68*PowerFactor</f>
        <v>104.38083581564808</v>
      </c>
      <c r="D68" s="92">
        <f>AJ68*PowerFactor*IF(crew=1,1.01,1)</f>
        <v>99.960418870354729</v>
      </c>
      <c r="E68" s="92">
        <f>VLOOKUP(A68,[3]TRTOTAL!$A$7:$D$313,3,FALSE)</f>
        <v>104.95771809188007</v>
      </c>
      <c r="F68" s="92">
        <f>VLOOKUP(A68,[3]TRTOTAL!$A$7:$D$313,4,FALSE)</f>
        <v>100.37014141528145</v>
      </c>
      <c r="G68" s="92">
        <f t="shared" ref="G68:G131" si="112">C68-E68</f>
        <v>-0.57688227623198429</v>
      </c>
      <c r="H68" s="92">
        <f t="shared" ref="H68:H131" si="113">D68-F68</f>
        <v>-0.40972254492672278</v>
      </c>
      <c r="I68" s="54">
        <v>5.52</v>
      </c>
      <c r="J68" s="56">
        <v>5.52</v>
      </c>
      <c r="K68" s="54">
        <v>2.6</v>
      </c>
      <c r="L68" s="57">
        <v>2</v>
      </c>
      <c r="M68" s="57"/>
      <c r="N68" s="57">
        <v>180</v>
      </c>
      <c r="O68" s="87"/>
      <c r="P68" s="24">
        <f t="shared" si="87"/>
        <v>17</v>
      </c>
      <c r="Q68" s="24">
        <f t="shared" si="86"/>
        <v>9.0500000000000007</v>
      </c>
      <c r="R68" s="24">
        <f>CI68</f>
        <v>4.3</v>
      </c>
      <c r="S68" s="87">
        <v>9.0500000000000007</v>
      </c>
      <c r="T68" s="21">
        <f t="shared" si="88"/>
        <v>5.73</v>
      </c>
      <c r="U68" s="21">
        <v>2.1</v>
      </c>
      <c r="V68" s="24">
        <f>IF(e_sp,e_sp,(IF(mfoot,MAX(CU68:CX68),IF(mainh1,mainh1,vlm*0.3))))</f>
        <v>2.1</v>
      </c>
      <c r="W68" s="24">
        <f>IF(circMast,circMast/2,0.16)+V68</f>
        <v>2.2600000000000002</v>
      </c>
      <c r="X68" s="24">
        <f t="shared" si="89"/>
        <v>3.3283734043386315</v>
      </c>
      <c r="Y68" s="25">
        <f t="shared" si="9"/>
        <v>1</v>
      </c>
      <c r="Z68" s="24">
        <f>0.67*X68^0.3*msam*Y68</f>
        <v>16.337791034816128</v>
      </c>
      <c r="AA68" s="21">
        <f t="shared" si="90"/>
        <v>0</v>
      </c>
      <c r="AB68" s="24">
        <f>IF(AA68,0.72*AA68^0.3*msag,IF(msag,0.9*msag,0))</f>
        <v>3.87</v>
      </c>
      <c r="AC68" s="24">
        <f t="shared" si="91"/>
        <v>22.854691034816128</v>
      </c>
      <c r="AD68" s="58">
        <f t="shared" si="92"/>
        <v>324</v>
      </c>
      <c r="AE68" s="58">
        <f t="shared" si="93"/>
        <v>330</v>
      </c>
      <c r="AF68" s="21">
        <f t="shared" si="94"/>
        <v>3.15</v>
      </c>
      <c r="AG68" s="77">
        <f t="shared" si="95"/>
        <v>0</v>
      </c>
      <c r="AH68" s="114">
        <f t="shared" si="50"/>
        <v>1</v>
      </c>
      <c r="AI68" s="59">
        <f t="shared" si="96"/>
        <v>102.43303194979761</v>
      </c>
      <c r="AJ68" s="59">
        <f t="shared" si="97"/>
        <v>98.095102418476685</v>
      </c>
      <c r="AK68" s="55"/>
      <c r="AL68" s="55"/>
      <c r="AM68" s="21">
        <f>AK68*AL68*0.5</f>
        <v>0</v>
      </c>
      <c r="AN68" s="54">
        <v>9.0500000000000007</v>
      </c>
      <c r="AO68" s="55"/>
      <c r="AP68" s="21">
        <f>AN68*AO68*2/3</f>
        <v>0</v>
      </c>
      <c r="AQ68" s="55"/>
      <c r="AR68" s="55"/>
      <c r="AS68" s="21">
        <f>AQ68*AR68*2/3</f>
        <v>0</v>
      </c>
      <c r="AT68" s="54"/>
      <c r="AU68" s="54"/>
      <c r="AV68" s="21">
        <f>AT68*AU68*0.5</f>
        <v>0</v>
      </c>
      <c r="AW68" s="54"/>
      <c r="AX68" s="54"/>
      <c r="AY68" s="21">
        <f>AW68*AX68*0.5</f>
        <v>0</v>
      </c>
      <c r="AZ68" s="54"/>
      <c r="BA68" s="54"/>
      <c r="BB68" s="21">
        <f>AZ68*BA68*2/3</f>
        <v>0</v>
      </c>
      <c r="BC68" s="54"/>
      <c r="BD68" s="54"/>
      <c r="BE68" s="21">
        <f>BC68*BD68*2/3</f>
        <v>0</v>
      </c>
      <c r="BF68" s="55"/>
      <c r="BG68" s="55"/>
      <c r="BH68" s="21">
        <f>BF68*BG68*0.5</f>
        <v>0</v>
      </c>
      <c r="BI68" s="55"/>
      <c r="BJ68" s="55"/>
      <c r="BK68" s="21">
        <f>BI68*BJ68*2/3</f>
        <v>0</v>
      </c>
      <c r="BL68" s="55"/>
      <c r="BM68" s="55"/>
      <c r="BN68" s="21">
        <f>BL68*BM68*0.5</f>
        <v>0</v>
      </c>
      <c r="BO68" s="55"/>
      <c r="BP68" s="55"/>
      <c r="BQ68" s="21">
        <f>BO68*BP68*0.5</f>
        <v>0</v>
      </c>
      <c r="BR68" s="55"/>
      <c r="BS68" s="21">
        <f>AM68+AP68+AS68+AV68+AY68+BB68+BE68+BH68+BK68+BN68+BQ68</f>
        <v>0</v>
      </c>
      <c r="BT68" s="56">
        <v>0</v>
      </c>
      <c r="BU68" s="56"/>
      <c r="BV68" s="21">
        <f>BT68*BU68*0.5</f>
        <v>0</v>
      </c>
      <c r="BW68" s="77">
        <f>BT68-CF68</f>
        <v>0</v>
      </c>
      <c r="BX68" s="55"/>
      <c r="BY68" s="21">
        <f>BW68*BX68*2/3</f>
        <v>0</v>
      </c>
      <c r="BZ68" s="55"/>
      <c r="CA68" s="55"/>
      <c r="CB68" s="21">
        <f>BZ68*CA68*2/3</f>
        <v>0</v>
      </c>
      <c r="CC68" s="55"/>
      <c r="CD68" s="55"/>
      <c r="CE68" s="21">
        <f>CC68*CD68*2/3</f>
        <v>0</v>
      </c>
      <c r="CF68" s="21"/>
      <c r="CG68" s="21"/>
      <c r="CH68" s="21">
        <f>CF68*CG68*0.5</f>
        <v>0</v>
      </c>
      <c r="CI68" s="25">
        <f>BV68+BY68+CB68+CE68+CH68+DG68</f>
        <v>4.3</v>
      </c>
      <c r="CJ68" s="54"/>
      <c r="CK68" s="21">
        <f t="shared" si="107"/>
        <v>0</v>
      </c>
      <c r="CL68" s="55"/>
      <c r="CM68" s="55"/>
      <c r="CN68" s="60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21">
        <f>(CT68+4*CU68+2*CV68+4*CW68+CX68)*AN68/12</f>
        <v>0</v>
      </c>
      <c r="CZ68" s="56"/>
      <c r="DA68" s="56"/>
      <c r="DB68" s="56"/>
      <c r="DC68" s="56"/>
      <c r="DD68" s="61">
        <f>IF(CZ68,DC68/CZ68,smg_sf_no_details)</f>
        <v>0</v>
      </c>
      <c r="DE68" s="21">
        <f>IF(CZ68,CZ68*(DA68+DB68)/4+(DC68-CZ68/2)*(DA68+DB68)/3,sas_no_details)</f>
        <v>21</v>
      </c>
      <c r="DF68" s="55">
        <v>17</v>
      </c>
      <c r="DG68" s="55">
        <v>4.3</v>
      </c>
      <c r="DH68" s="55">
        <v>5.73</v>
      </c>
      <c r="DI68" s="55">
        <v>21</v>
      </c>
      <c r="DJ68" s="104"/>
      <c r="DK68" s="53" t="s">
        <v>129</v>
      </c>
      <c r="DM68" s="58">
        <f t="shared" si="108"/>
        <v>909.31118396160002</v>
      </c>
      <c r="DN68" s="58">
        <f t="shared" si="109"/>
        <v>766.2</v>
      </c>
      <c r="DO68" s="21">
        <f t="shared" si="110"/>
        <v>0.84261583219717273</v>
      </c>
      <c r="DP68" s="62">
        <f>IF((1/DO68)^$DP$5&lt;1,1,(1/DO68)^$DP$5)</f>
        <v>1.0190153881885005</v>
      </c>
      <c r="DQ68" s="7">
        <v>0</v>
      </c>
      <c r="DR68" s="107" t="str">
        <f t="shared" si="111"/>
        <v>yes</v>
      </c>
    </row>
    <row r="69" spans="1:1033" ht="12.75" customHeight="1" x14ac:dyDescent="0.2">
      <c r="A69" s="53" t="s">
        <v>238</v>
      </c>
      <c r="B69" s="54">
        <v>2</v>
      </c>
      <c r="C69" s="92">
        <f t="shared" ref="C69:C88" si="114">AI69*PowerFactor</f>
        <v>127.76799212159567</v>
      </c>
      <c r="D69" s="92">
        <f t="shared" ref="D69:D88" si="115">AJ69*PowerFactor*IF(crew=1,1.01,1)</f>
        <v>121.39198644158735</v>
      </c>
      <c r="E69" s="92">
        <f>VLOOKUP(A69,[3]TRTOTAL!$A$7:$D$313,3,FALSE)</f>
        <v>127.76799212159567</v>
      </c>
      <c r="F69" s="92">
        <f>VLOOKUP(A69,[3]TRTOTAL!$A$7:$D$313,4,FALSE)</f>
        <v>121.39198644158735</v>
      </c>
      <c r="G69" s="92">
        <f t="shared" si="112"/>
        <v>0</v>
      </c>
      <c r="H69" s="92">
        <f t="shared" si="113"/>
        <v>0</v>
      </c>
      <c r="I69" s="54">
        <v>4.6100000000000003</v>
      </c>
      <c r="J69" s="56">
        <v>4.55</v>
      </c>
      <c r="K69" s="54">
        <v>2</v>
      </c>
      <c r="L69" s="57">
        <v>2</v>
      </c>
      <c r="M69" s="57">
        <v>155</v>
      </c>
      <c r="N69" s="57"/>
      <c r="O69" s="87" t="s">
        <v>133</v>
      </c>
      <c r="P69" s="24">
        <f t="shared" si="87"/>
        <v>13.56</v>
      </c>
      <c r="Q69" s="24">
        <f t="shared" si="86"/>
        <v>7.86</v>
      </c>
      <c r="R69" s="24">
        <f t="shared" ref="R69:R88" si="116">CI69</f>
        <v>3.03</v>
      </c>
      <c r="S69" s="87">
        <v>8.3000000000000007</v>
      </c>
      <c r="T69" s="21">
        <f t="shared" si="88"/>
        <v>4.4000000000000004</v>
      </c>
      <c r="U69" s="21"/>
      <c r="V69" s="24">
        <f t="shared" ref="V69:V88" si="117">IF(e_sp,e_sp,(IF(mfoot,MAX(CU69:CX69),IF(mainh1,mainh1,vlm*0.3))))</f>
        <v>2.3580000000000001</v>
      </c>
      <c r="W69" s="24">
        <f t="shared" ref="W69:W95" si="118">IF(circMast,circMast/2,0.16)+V69</f>
        <v>2.5180000000000002</v>
      </c>
      <c r="X69" s="24">
        <f t="shared" si="89"/>
        <v>2.1386919658995338</v>
      </c>
      <c r="Y69" s="25">
        <f t="shared" si="9"/>
        <v>1</v>
      </c>
      <c r="Z69" s="24">
        <f t="shared" ref="Z69:Z130" si="119">0.67*X69^0.3*msam*Y69</f>
        <v>11.412451991986533</v>
      </c>
      <c r="AA69" s="21">
        <f t="shared" si="90"/>
        <v>0</v>
      </c>
      <c r="AB69" s="24">
        <f t="shared" ref="AB69:AB130" si="120">IF(AA69,0.72*AA69^0.3*msag,IF(msag,0.9*msag,0))</f>
        <v>2.7269999999999999</v>
      </c>
      <c r="AC69" s="24">
        <f t="shared" si="91"/>
        <v>16.334941991986533</v>
      </c>
      <c r="AD69" s="58">
        <f t="shared" si="92"/>
        <v>295</v>
      </c>
      <c r="AE69" s="58">
        <f t="shared" si="93"/>
        <v>301</v>
      </c>
      <c r="AF69" s="21">
        <f t="shared" si="94"/>
        <v>2.5499999999999998</v>
      </c>
      <c r="AG69" s="77">
        <f t="shared" si="95"/>
        <v>0</v>
      </c>
      <c r="AH69" s="114">
        <f t="shared" si="50"/>
        <v>1.04</v>
      </c>
      <c r="AI69" s="59">
        <f t="shared" si="96"/>
        <v>126.31391735866143</v>
      </c>
      <c r="AJ69" s="59">
        <f t="shared" si="97"/>
        <v>120.01047436664466</v>
      </c>
      <c r="AK69" s="55"/>
      <c r="AL69" s="55"/>
      <c r="AM69" s="21">
        <f t="shared" si="81"/>
        <v>0</v>
      </c>
      <c r="AN69" s="54">
        <v>7.86</v>
      </c>
      <c r="AO69" s="55"/>
      <c r="AP69" s="21">
        <f t="shared" si="98"/>
        <v>0</v>
      </c>
      <c r="AQ69" s="55"/>
      <c r="AR69" s="55"/>
      <c r="AS69" s="21">
        <f t="shared" si="99"/>
        <v>0</v>
      </c>
      <c r="AT69" s="54"/>
      <c r="AU69" s="54"/>
      <c r="AV69" s="21">
        <f t="shared" si="100"/>
        <v>0</v>
      </c>
      <c r="AW69" s="54"/>
      <c r="AX69" s="54"/>
      <c r="AY69" s="21">
        <f t="shared" si="101"/>
        <v>0</v>
      </c>
      <c r="AZ69" s="54"/>
      <c r="BA69" s="54"/>
      <c r="BB69" s="21">
        <f t="shared" si="102"/>
        <v>0</v>
      </c>
      <c r="BC69" s="54"/>
      <c r="BD69" s="54"/>
      <c r="BE69" s="21">
        <f t="shared" si="103"/>
        <v>0</v>
      </c>
      <c r="BF69" s="55"/>
      <c r="BG69" s="55"/>
      <c r="BH69" s="21">
        <f t="shared" si="104"/>
        <v>0</v>
      </c>
      <c r="BI69" s="55"/>
      <c r="BJ69" s="55"/>
      <c r="BK69" s="21">
        <f t="shared" si="105"/>
        <v>0</v>
      </c>
      <c r="BL69" s="55"/>
      <c r="BM69" s="55"/>
      <c r="BN69" s="21">
        <f t="shared" si="52"/>
        <v>0</v>
      </c>
      <c r="BO69" s="55"/>
      <c r="BP69" s="55"/>
      <c r="BQ69" s="21">
        <f t="shared" si="53"/>
        <v>0</v>
      </c>
      <c r="BR69" s="55"/>
      <c r="BS69" s="21">
        <f t="shared" si="106"/>
        <v>0</v>
      </c>
      <c r="BT69" s="56">
        <v>0</v>
      </c>
      <c r="BU69" s="56"/>
      <c r="BV69" s="21">
        <f t="shared" si="82"/>
        <v>0</v>
      </c>
      <c r="BW69" s="77">
        <f t="shared" ref="BW69:BW130" si="121">BT69-CF69</f>
        <v>0</v>
      </c>
      <c r="BX69" s="55"/>
      <c r="BY69" s="21">
        <f t="shared" si="83"/>
        <v>0</v>
      </c>
      <c r="BZ69" s="55"/>
      <c r="CA69" s="55"/>
      <c r="CB69" s="21">
        <f t="shared" si="84"/>
        <v>0</v>
      </c>
      <c r="CC69" s="54"/>
      <c r="CD69" s="54"/>
      <c r="CE69" s="21">
        <f t="shared" si="85"/>
        <v>0</v>
      </c>
      <c r="CF69" s="21"/>
      <c r="CG69" s="21"/>
      <c r="CH69" s="21">
        <f t="shared" ref="CH69:CH130" si="122">CF69*CG69*0.5</f>
        <v>0</v>
      </c>
      <c r="CI69" s="25">
        <f t="shared" ref="CI69:CI130" si="123">BV69+BY69+CB69+CE69+CH69+DG69</f>
        <v>3.03</v>
      </c>
      <c r="CJ69" s="54"/>
      <c r="CK69" s="21">
        <f t="shared" si="107"/>
        <v>0</v>
      </c>
      <c r="CL69" s="55"/>
      <c r="CM69" s="55"/>
      <c r="CN69" s="60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21">
        <f t="shared" ref="CY69:CY95" si="124">(CT69+4*CU69+2*CV69+4*CW69+CX69)*AN69/12</f>
        <v>0</v>
      </c>
      <c r="CZ69" s="56"/>
      <c r="DA69" s="56"/>
      <c r="DB69" s="56"/>
      <c r="DC69" s="56"/>
      <c r="DD69" s="61">
        <f t="shared" ref="DD69:DD130" si="125">IF(CZ69,DC69/CZ69,smg_sf_no_details)</f>
        <v>0</v>
      </c>
      <c r="DE69" s="21">
        <f t="shared" ref="DE69:DE130" si="126">IF(CZ69,CZ69*(DA69+DB69)/4+(DC69-CZ69/2)*(DA69+DB69)/3,sas_no_details)</f>
        <v>0</v>
      </c>
      <c r="DF69" s="55">
        <v>13.56</v>
      </c>
      <c r="DG69" s="55">
        <v>3.03</v>
      </c>
      <c r="DH69" s="55">
        <v>4.4000000000000004</v>
      </c>
      <c r="DI69" s="55"/>
      <c r="DJ69" s="104"/>
      <c r="DK69" s="53"/>
      <c r="DM69" s="58">
        <f t="shared" si="108"/>
        <v>638.05414450175988</v>
      </c>
      <c r="DN69" s="58">
        <f t="shared" si="109"/>
        <v>575</v>
      </c>
      <c r="DO69" s="21">
        <f t="shared" si="110"/>
        <v>0.90117743917955861</v>
      </c>
      <c r="DP69" s="62">
        <f t="shared" ref="DP69:DP95" si="127">IF((1/DO69)^$DP$5&lt;1,1,(1/DO69)^$DP$5)</f>
        <v>1.0115115958188952</v>
      </c>
      <c r="DQ69" s="7">
        <v>0</v>
      </c>
      <c r="DR69" s="107">
        <f t="shared" si="111"/>
        <v>0</v>
      </c>
    </row>
    <row r="70" spans="1:1033" s="86" customFormat="1" ht="12.75" customHeight="1" x14ac:dyDescent="0.2">
      <c r="A70" s="53" t="s">
        <v>551</v>
      </c>
      <c r="B70" s="54">
        <v>2</v>
      </c>
      <c r="C70" s="92">
        <f t="shared" si="114"/>
        <v>92.197209871280052</v>
      </c>
      <c r="D70" s="92">
        <f t="shared" si="115"/>
        <v>88.51648366741972</v>
      </c>
      <c r="E70" s="92">
        <f>VLOOKUP(A70,[3]TRTOTAL!$A$7:$D$313,3,FALSE)</f>
        <v>92.197209871280052</v>
      </c>
      <c r="F70" s="92">
        <f>VLOOKUP(A70,[3]TRTOTAL!$A$7:$D$313,4,FALSE)</f>
        <v>88.51648366741972</v>
      </c>
      <c r="G70" s="92">
        <f t="shared" si="112"/>
        <v>0</v>
      </c>
      <c r="H70" s="92">
        <f t="shared" si="113"/>
        <v>0</v>
      </c>
      <c r="I70" s="54">
        <v>6.08</v>
      </c>
      <c r="J70" s="56">
        <v>6.06</v>
      </c>
      <c r="K70" s="54">
        <v>3.98</v>
      </c>
      <c r="L70" s="57">
        <v>2</v>
      </c>
      <c r="M70" s="57">
        <v>0</v>
      </c>
      <c r="N70" s="57">
        <v>236</v>
      </c>
      <c r="O70" s="87" t="s">
        <v>595</v>
      </c>
      <c r="P70" s="24">
        <f t="shared" si="87"/>
        <v>20.598266666666667</v>
      </c>
      <c r="Q70" s="24">
        <f t="shared" si="86"/>
        <v>10.4</v>
      </c>
      <c r="R70" s="24">
        <f t="shared" si="116"/>
        <v>5.8524000000000003</v>
      </c>
      <c r="S70" s="87">
        <v>10.8</v>
      </c>
      <c r="T70" s="21">
        <f t="shared" si="88"/>
        <v>7.0217999999999989</v>
      </c>
      <c r="U70"/>
      <c r="V70" s="24">
        <f t="shared" si="117"/>
        <v>2.37</v>
      </c>
      <c r="W70" s="24">
        <f t="shared" si="118"/>
        <v>2.56</v>
      </c>
      <c r="X70" s="24">
        <f t="shared" si="89"/>
        <v>3.1430460611979165</v>
      </c>
      <c r="Y70" s="25">
        <f t="shared" si="9"/>
        <v>1</v>
      </c>
      <c r="Z70" s="24">
        <f t="shared" si="119"/>
        <v>19.458560215042855</v>
      </c>
      <c r="AA70" s="21">
        <f t="shared" si="90"/>
        <v>2.2860937499999996</v>
      </c>
      <c r="AB70" s="24">
        <f t="shared" si="120"/>
        <v>5.4000118016520116</v>
      </c>
      <c r="AC70" s="24">
        <f t="shared" si="91"/>
        <v>27.876500482480104</v>
      </c>
      <c r="AD70" s="58">
        <f t="shared" si="92"/>
        <v>380</v>
      </c>
      <c r="AE70" s="58">
        <f t="shared" si="93"/>
        <v>386</v>
      </c>
      <c r="AF70" s="21">
        <f t="shared" si="94"/>
        <v>3.7199299999999993</v>
      </c>
      <c r="AG70" s="77">
        <f t="shared" si="95"/>
        <v>0</v>
      </c>
      <c r="AH70" s="114">
        <f t="shared" si="50"/>
        <v>0.95</v>
      </c>
      <c r="AI70" s="59">
        <f t="shared" si="96"/>
        <v>91.732488617399483</v>
      </c>
      <c r="AJ70" s="59">
        <f t="shared" si="97"/>
        <v>88.070315162576108</v>
      </c>
      <c r="AK70" s="55">
        <v>10.4</v>
      </c>
      <c r="AL70" s="55">
        <v>2.37</v>
      </c>
      <c r="AM70" s="21">
        <f t="shared" si="81"/>
        <v>12.324000000000002</v>
      </c>
      <c r="AN70" s="54">
        <v>10.4</v>
      </c>
      <c r="AO70" s="55">
        <v>0.12</v>
      </c>
      <c r="AP70" s="21">
        <f t="shared" si="98"/>
        <v>0.83199999999999996</v>
      </c>
      <c r="AQ70" s="55"/>
      <c r="AR70" s="55">
        <v>0</v>
      </c>
      <c r="AS70" s="21">
        <f t="shared" si="99"/>
        <v>0</v>
      </c>
      <c r="AT70" s="54">
        <v>9</v>
      </c>
      <c r="AU70" s="54">
        <v>0.79</v>
      </c>
      <c r="AV70" s="21">
        <f t="shared" si="100"/>
        <v>3.5550000000000002</v>
      </c>
      <c r="AW70" s="54">
        <v>2.91</v>
      </c>
      <c r="AX70" s="54">
        <v>0.4</v>
      </c>
      <c r="AY70" s="21">
        <f t="shared" si="101"/>
        <v>0.58200000000000007</v>
      </c>
      <c r="AZ70" s="54">
        <v>8.9499999999999993</v>
      </c>
      <c r="BA70" s="54">
        <v>0.19</v>
      </c>
      <c r="BB70" s="21">
        <f t="shared" si="102"/>
        <v>1.1336666666666666</v>
      </c>
      <c r="BC70" s="54">
        <v>2.4</v>
      </c>
      <c r="BD70" s="54">
        <v>0</v>
      </c>
      <c r="BE70" s="21">
        <f t="shared" si="103"/>
        <v>0</v>
      </c>
      <c r="BF70" s="55">
        <v>0.92</v>
      </c>
      <c r="BG70" s="55">
        <v>0.26</v>
      </c>
      <c r="BH70" s="21">
        <f t="shared" si="104"/>
        <v>0.11960000000000001</v>
      </c>
      <c r="BI70" s="55">
        <v>2.0499999999999998</v>
      </c>
      <c r="BJ70" s="55">
        <v>0</v>
      </c>
      <c r="BK70" s="21">
        <f t="shared" si="105"/>
        <v>0</v>
      </c>
      <c r="BL70" s="55">
        <v>0</v>
      </c>
      <c r="BM70" s="55">
        <v>0</v>
      </c>
      <c r="BN70" s="21">
        <f t="shared" si="52"/>
        <v>0</v>
      </c>
      <c r="BO70" s="55">
        <v>0</v>
      </c>
      <c r="BP70" s="55">
        <v>0</v>
      </c>
      <c r="BQ70" s="21">
        <f t="shared" si="53"/>
        <v>0</v>
      </c>
      <c r="BR70" s="55">
        <v>0</v>
      </c>
      <c r="BS70" s="21">
        <f t="shared" si="106"/>
        <v>18.546266666666668</v>
      </c>
      <c r="BT70" s="56">
        <v>7.47</v>
      </c>
      <c r="BU70" s="56">
        <v>1.6</v>
      </c>
      <c r="BV70" s="21">
        <f t="shared" si="82"/>
        <v>5.976</v>
      </c>
      <c r="BW70" s="77">
        <f t="shared" si="121"/>
        <v>7.47</v>
      </c>
      <c r="BX70" s="55">
        <v>-0.02</v>
      </c>
      <c r="BY70" s="21">
        <f t="shared" si="83"/>
        <v>-9.9600000000000008E-2</v>
      </c>
      <c r="BZ70" s="55">
        <v>7.03</v>
      </c>
      <c r="CA70" s="55">
        <v>-0.01</v>
      </c>
      <c r="CB70" s="21">
        <f t="shared" si="84"/>
        <v>-4.6866666666666668E-2</v>
      </c>
      <c r="CC70" s="54">
        <v>1.7150000000000001</v>
      </c>
      <c r="CD70" s="54">
        <v>0.02</v>
      </c>
      <c r="CE70" s="21">
        <f t="shared" si="85"/>
        <v>2.2866666666666671E-2</v>
      </c>
      <c r="CF70" s="21"/>
      <c r="CG70" s="21"/>
      <c r="CH70" s="21">
        <f t="shared" si="122"/>
        <v>0</v>
      </c>
      <c r="CI70" s="25">
        <f t="shared" si="123"/>
        <v>5.8524000000000003</v>
      </c>
      <c r="CJ70" s="54">
        <v>0.38</v>
      </c>
      <c r="CK70" s="21">
        <f t="shared" si="107"/>
        <v>2.052</v>
      </c>
      <c r="CL70" s="55">
        <v>7</v>
      </c>
      <c r="CM70" s="55" t="s">
        <v>491</v>
      </c>
      <c r="CN70" s="60">
        <v>42545</v>
      </c>
      <c r="CO70" s="55" t="s">
        <v>220</v>
      </c>
      <c r="CP70" s="55" t="s">
        <v>493</v>
      </c>
      <c r="CQ70" s="55" t="s">
        <v>239</v>
      </c>
      <c r="CR70" s="55">
        <v>0</v>
      </c>
      <c r="CS70" s="55">
        <v>15</v>
      </c>
      <c r="CT70" s="55"/>
      <c r="CU70" s="55"/>
      <c r="CV70" s="55"/>
      <c r="CW70" s="55"/>
      <c r="CX70" s="55"/>
      <c r="CY70" s="21">
        <f t="shared" si="124"/>
        <v>0</v>
      </c>
      <c r="CZ70" s="56">
        <v>4.2</v>
      </c>
      <c r="DA70" s="56">
        <v>9.51</v>
      </c>
      <c r="DB70" s="56">
        <v>8.1199999999999992</v>
      </c>
      <c r="DC70" s="56">
        <v>3.17</v>
      </c>
      <c r="DD70" s="61">
        <f t="shared" si="125"/>
        <v>0.75476190476190474</v>
      </c>
      <c r="DE70" s="21">
        <f t="shared" si="126"/>
        <v>24.799533333333329</v>
      </c>
      <c r="DF70" s="55"/>
      <c r="DG70" s="55"/>
      <c r="DH70" s="55"/>
      <c r="DI70" s="55"/>
      <c r="DJ70" s="104"/>
      <c r="DK70" s="53" t="s">
        <v>492</v>
      </c>
      <c r="DL70"/>
      <c r="DM70" s="58">
        <f t="shared" si="108"/>
        <v>1261.3332487861933</v>
      </c>
      <c r="DN70" s="58">
        <f t="shared" si="109"/>
        <v>1204.7</v>
      </c>
      <c r="DO70" s="21">
        <f t="shared" si="110"/>
        <v>0.95510048685334148</v>
      </c>
      <c r="DP70" s="62">
        <f t="shared" si="127"/>
        <v>1.0050660486909806</v>
      </c>
      <c r="DQ70" s="7">
        <v>0</v>
      </c>
      <c r="DR70" s="107">
        <f t="shared" si="111"/>
        <v>0</v>
      </c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  <c r="AMI70"/>
      <c r="AMJ70"/>
      <c r="AMK70"/>
      <c r="AML70"/>
      <c r="AMM70"/>
      <c r="AMN70"/>
      <c r="AMO70"/>
      <c r="AMP70"/>
      <c r="AMQ70"/>
      <c r="AMR70"/>
      <c r="AMS70"/>
    </row>
    <row r="71" spans="1:1033" ht="12.75" customHeight="1" x14ac:dyDescent="0.2">
      <c r="A71" s="53" t="s">
        <v>550</v>
      </c>
      <c r="B71" s="54">
        <v>2</v>
      </c>
      <c r="C71" s="92">
        <f t="shared" si="114"/>
        <v>93.528749355010888</v>
      </c>
      <c r="D71" s="92">
        <f t="shared" si="115"/>
        <v>89.396288274062698</v>
      </c>
      <c r="E71" s="92">
        <f>VLOOKUP(A71,[3]TRTOTAL!$A$7:$D$313,3,FALSE)</f>
        <v>93.528749355010888</v>
      </c>
      <c r="F71" s="92">
        <f>VLOOKUP(A71,[3]TRTOTAL!$A$7:$D$313,4,FALSE)</f>
        <v>89.396288274062698</v>
      </c>
      <c r="G71" s="92">
        <f t="shared" si="112"/>
        <v>0</v>
      </c>
      <c r="H71" s="92">
        <f t="shared" si="113"/>
        <v>0</v>
      </c>
      <c r="I71" s="54">
        <v>6.08</v>
      </c>
      <c r="J71" s="56">
        <v>6.06</v>
      </c>
      <c r="K71" s="54">
        <v>3.54</v>
      </c>
      <c r="L71" s="57">
        <v>2</v>
      </c>
      <c r="M71" s="57">
        <v>0</v>
      </c>
      <c r="N71" s="57">
        <v>231</v>
      </c>
      <c r="O71" s="87" t="s">
        <v>595</v>
      </c>
      <c r="P71" s="24">
        <f t="shared" si="87"/>
        <v>20.598266666666667</v>
      </c>
      <c r="Q71" s="24">
        <f t="shared" si="86"/>
        <v>10.4</v>
      </c>
      <c r="R71" s="24">
        <f t="shared" si="116"/>
        <v>5.33432</v>
      </c>
      <c r="S71" s="87">
        <v>10.8</v>
      </c>
      <c r="T71" s="21">
        <f t="shared" si="88"/>
        <v>6.5141999999999998</v>
      </c>
      <c r="U71"/>
      <c r="V71" s="24">
        <f t="shared" si="117"/>
        <v>2.37</v>
      </c>
      <c r="W71" s="24">
        <f t="shared" si="118"/>
        <v>2.56</v>
      </c>
      <c r="X71" s="24">
        <f t="shared" si="89"/>
        <v>3.1430460611979165</v>
      </c>
      <c r="Y71" s="25">
        <f t="shared" ref="Y71:Y134" si="128">IF(Decksweeper="yes",1,IF(mainh1,(mainh1/V71)^0.7,IF(mfoot&lt;CW71,(mfoot/CW71)^0.7,1)))</f>
        <v>1</v>
      </c>
      <c r="Z71" s="24">
        <f t="shared" si="119"/>
        <v>19.458560215042855</v>
      </c>
      <c r="AA71" s="21">
        <f t="shared" si="90"/>
        <v>2.1919460880999342</v>
      </c>
      <c r="AB71" s="24">
        <f t="shared" si="120"/>
        <v>4.8602714082437899</v>
      </c>
      <c r="AC71" s="24">
        <f t="shared" si="91"/>
        <v>27.580868840214954</v>
      </c>
      <c r="AD71" s="58">
        <f t="shared" si="92"/>
        <v>375</v>
      </c>
      <c r="AE71" s="58">
        <f t="shared" si="93"/>
        <v>381</v>
      </c>
      <c r="AF71" s="21">
        <f t="shared" si="94"/>
        <v>3.8938725000000001</v>
      </c>
      <c r="AG71" s="77">
        <f t="shared" si="95"/>
        <v>0</v>
      </c>
      <c r="AH71" s="114">
        <f t="shared" ref="AH71:AH134" si="129">IF(lb="no",1.04,(IF(lb="",1,(IF(lb="c",0.985,0.95)))))</f>
        <v>0.95</v>
      </c>
      <c r="AI71" s="59">
        <f t="shared" si="96"/>
        <v>92.143999191139002</v>
      </c>
      <c r="AJ71" s="59">
        <f t="shared" si="97"/>
        <v>88.072721716285201</v>
      </c>
      <c r="AK71" s="55">
        <v>10.4</v>
      </c>
      <c r="AL71" s="55">
        <v>2.37</v>
      </c>
      <c r="AM71" s="21">
        <f t="shared" si="81"/>
        <v>12.324000000000002</v>
      </c>
      <c r="AN71" s="54">
        <v>10.4</v>
      </c>
      <c r="AO71" s="55">
        <v>0.12</v>
      </c>
      <c r="AP71" s="21">
        <f t="shared" si="98"/>
        <v>0.83199999999999996</v>
      </c>
      <c r="AQ71" s="55"/>
      <c r="AR71" s="55">
        <v>0</v>
      </c>
      <c r="AS71" s="21">
        <f t="shared" si="99"/>
        <v>0</v>
      </c>
      <c r="AT71" s="54">
        <v>9</v>
      </c>
      <c r="AU71" s="54">
        <v>0.79</v>
      </c>
      <c r="AV71" s="21">
        <f t="shared" si="100"/>
        <v>3.5550000000000002</v>
      </c>
      <c r="AW71" s="54">
        <v>2.91</v>
      </c>
      <c r="AX71" s="54">
        <v>0.4</v>
      </c>
      <c r="AY71" s="21">
        <f t="shared" si="101"/>
        <v>0.58200000000000007</v>
      </c>
      <c r="AZ71" s="54">
        <v>8.9499999999999993</v>
      </c>
      <c r="BA71" s="54">
        <v>0.19</v>
      </c>
      <c r="BB71" s="21">
        <f t="shared" si="102"/>
        <v>1.1336666666666666</v>
      </c>
      <c r="BC71" s="54">
        <v>2.4</v>
      </c>
      <c r="BD71" s="54">
        <v>0</v>
      </c>
      <c r="BE71" s="21">
        <f t="shared" si="103"/>
        <v>0</v>
      </c>
      <c r="BF71" s="55">
        <v>0.92</v>
      </c>
      <c r="BG71" s="55">
        <v>0.26</v>
      </c>
      <c r="BH71" s="21">
        <f t="shared" si="104"/>
        <v>0.11960000000000001</v>
      </c>
      <c r="BI71" s="55">
        <v>2.0499999999999998</v>
      </c>
      <c r="BJ71" s="55">
        <v>0</v>
      </c>
      <c r="BK71" s="21">
        <f t="shared" si="105"/>
        <v>0</v>
      </c>
      <c r="BL71" s="55">
        <v>0</v>
      </c>
      <c r="BM71" s="55">
        <v>0</v>
      </c>
      <c r="BN71" s="21">
        <f t="shared" si="52"/>
        <v>0</v>
      </c>
      <c r="BO71" s="55">
        <v>0</v>
      </c>
      <c r="BP71" s="55">
        <v>0</v>
      </c>
      <c r="BQ71" s="21">
        <f t="shared" si="53"/>
        <v>0</v>
      </c>
      <c r="BR71" s="55">
        <v>0</v>
      </c>
      <c r="BS71" s="21">
        <f t="shared" si="106"/>
        <v>18.546266666666668</v>
      </c>
      <c r="BT71" s="56">
        <v>6.93</v>
      </c>
      <c r="BU71" s="56">
        <v>1.56</v>
      </c>
      <c r="BV71" s="21">
        <f t="shared" si="82"/>
        <v>5.4054000000000002</v>
      </c>
      <c r="BW71" s="77">
        <f t="shared" si="121"/>
        <v>6.93</v>
      </c>
      <c r="BX71" s="55"/>
      <c r="BY71" s="21">
        <f t="shared" si="83"/>
        <v>0</v>
      </c>
      <c r="BZ71" s="55">
        <v>6.57</v>
      </c>
      <c r="CA71" s="55">
        <v>-0.03</v>
      </c>
      <c r="CB71" s="21">
        <f t="shared" si="84"/>
        <v>-0.13139999999999999</v>
      </c>
      <c r="CC71" s="54">
        <v>1.56</v>
      </c>
      <c r="CD71" s="54">
        <v>5.8000000000000003E-2</v>
      </c>
      <c r="CE71" s="21">
        <f t="shared" si="85"/>
        <v>6.0320000000000006E-2</v>
      </c>
      <c r="CF71" s="21"/>
      <c r="CG71" s="21"/>
      <c r="CH71" s="21">
        <f t="shared" si="122"/>
        <v>0</v>
      </c>
      <c r="CI71" s="25">
        <f t="shared" si="123"/>
        <v>5.33432</v>
      </c>
      <c r="CJ71" s="54">
        <v>0.38</v>
      </c>
      <c r="CK71" s="21">
        <f t="shared" si="107"/>
        <v>2.052</v>
      </c>
      <c r="CL71" s="55"/>
      <c r="CM71" s="55" t="s">
        <v>491</v>
      </c>
      <c r="CN71" s="60">
        <v>43265</v>
      </c>
      <c r="CO71" s="55" t="s">
        <v>546</v>
      </c>
      <c r="CP71" s="55" t="s">
        <v>493</v>
      </c>
      <c r="CQ71" s="55">
        <v>4854</v>
      </c>
      <c r="CR71" s="55">
        <v>0</v>
      </c>
      <c r="CS71" s="55">
        <v>15</v>
      </c>
      <c r="CT71" s="55"/>
      <c r="CU71" s="55"/>
      <c r="CV71" s="55"/>
      <c r="CW71" s="55"/>
      <c r="CX71" s="55"/>
      <c r="CY71" s="21">
        <f t="shared" si="124"/>
        <v>0</v>
      </c>
      <c r="CZ71" s="95">
        <v>4.28</v>
      </c>
      <c r="DA71" s="95">
        <v>9.7799999999999994</v>
      </c>
      <c r="DB71" s="95">
        <v>8.31</v>
      </c>
      <c r="DC71" s="95">
        <v>3.2349999999999999</v>
      </c>
      <c r="DD71" s="61">
        <f t="shared" si="125"/>
        <v>0.75584112149532701</v>
      </c>
      <c r="DE71" s="21">
        <f t="shared" si="126"/>
        <v>25.959150000000001</v>
      </c>
      <c r="DF71" s="55"/>
      <c r="DG71" s="55"/>
      <c r="DH71" s="55"/>
      <c r="DI71" s="55"/>
      <c r="DJ71" s="104"/>
      <c r="DK71" s="53" t="s">
        <v>547</v>
      </c>
      <c r="DM71" s="58">
        <f t="shared" si="108"/>
        <v>1235.9861387316546</v>
      </c>
      <c r="DN71" s="58">
        <f t="shared" si="109"/>
        <v>1079.25</v>
      </c>
      <c r="DO71" s="21">
        <f t="shared" si="110"/>
        <v>0.87318940413644586</v>
      </c>
      <c r="DP71" s="62">
        <f t="shared" si="127"/>
        <v>1.0150281100888559</v>
      </c>
      <c r="DQ71" s="7">
        <v>0</v>
      </c>
      <c r="DR71" s="107">
        <f t="shared" si="111"/>
        <v>0</v>
      </c>
      <c r="DS71" s="83"/>
      <c r="DT71" s="83"/>
      <c r="DU71" s="83"/>
      <c r="DV71" s="83"/>
      <c r="DW71" s="83"/>
      <c r="DX71" s="83"/>
      <c r="DY71" s="83"/>
      <c r="DZ71" s="83"/>
      <c r="EA71" s="83"/>
      <c r="EB71" s="83"/>
      <c r="EC71" s="83"/>
      <c r="ED71" s="83"/>
      <c r="EE71" s="83"/>
      <c r="EF71" s="83"/>
      <c r="EG71" s="83"/>
      <c r="EH71" s="83"/>
      <c r="EI71" s="83"/>
      <c r="EJ71" s="83"/>
      <c r="EK71" s="83"/>
      <c r="EL71" s="83"/>
      <c r="EM71" s="83"/>
      <c r="EN71" s="83"/>
      <c r="EO71" s="83"/>
      <c r="EP71" s="83"/>
      <c r="EQ71" s="83"/>
      <c r="ER71" s="83"/>
      <c r="ES71" s="83"/>
      <c r="ET71" s="83"/>
      <c r="EU71" s="83"/>
      <c r="EV71" s="83"/>
      <c r="EW71" s="83"/>
      <c r="EX71" s="83"/>
      <c r="EY71" s="83"/>
      <c r="EZ71" s="83"/>
      <c r="FA71" s="83"/>
      <c r="FB71" s="83"/>
      <c r="FC71" s="83"/>
      <c r="FD71" s="83"/>
      <c r="FE71" s="83"/>
      <c r="FF71" s="83"/>
      <c r="FG71" s="83"/>
      <c r="FH71" s="83"/>
      <c r="FI71" s="83"/>
      <c r="FJ71" s="83"/>
      <c r="FK71" s="83"/>
      <c r="FL71" s="83"/>
      <c r="FM71" s="83"/>
      <c r="FN71" s="83"/>
      <c r="FO71" s="83"/>
      <c r="FP71" s="83"/>
      <c r="FQ71" s="83"/>
      <c r="FR71" s="83"/>
      <c r="FS71" s="83"/>
      <c r="FT71" s="83"/>
      <c r="FU71" s="83"/>
      <c r="FV71" s="83"/>
      <c r="FW71" s="83"/>
      <c r="FX71" s="83"/>
      <c r="FY71" s="83"/>
      <c r="FZ71" s="83"/>
      <c r="GA71" s="83"/>
      <c r="GB71" s="83"/>
      <c r="GC71" s="83"/>
      <c r="GD71" s="83"/>
      <c r="GE71" s="83"/>
      <c r="GF71" s="83"/>
      <c r="GG71" s="83"/>
      <c r="GH71" s="83"/>
      <c r="GI71" s="83"/>
      <c r="GJ71" s="83"/>
      <c r="GK71" s="83"/>
      <c r="GL71" s="83"/>
      <c r="GM71" s="83"/>
      <c r="GN71" s="83"/>
      <c r="GO71" s="83"/>
      <c r="GP71" s="83"/>
      <c r="GQ71" s="83"/>
      <c r="GR71" s="83"/>
      <c r="GS71" s="83"/>
      <c r="GT71" s="83"/>
      <c r="GU71" s="83"/>
      <c r="GV71" s="83"/>
      <c r="GW71" s="83"/>
      <c r="GX71" s="83"/>
      <c r="GY71" s="83"/>
      <c r="GZ71" s="83"/>
      <c r="HA71" s="83"/>
      <c r="HB71" s="83"/>
      <c r="HC71" s="83"/>
      <c r="HD71" s="83"/>
      <c r="HE71" s="83"/>
      <c r="HF71" s="83"/>
      <c r="HG71" s="83"/>
      <c r="HH71" s="83"/>
      <c r="HI71" s="83"/>
      <c r="HJ71" s="83"/>
      <c r="HK71" s="83"/>
      <c r="HL71" s="83"/>
      <c r="HM71" s="83"/>
      <c r="HN71" s="83"/>
      <c r="HO71" s="83"/>
      <c r="HP71" s="83"/>
      <c r="HQ71" s="83"/>
      <c r="HR71" s="83"/>
      <c r="HS71" s="83"/>
      <c r="HT71" s="83"/>
      <c r="HU71" s="83"/>
      <c r="HV71" s="83"/>
      <c r="HW71" s="83"/>
      <c r="HX71" s="83"/>
      <c r="HY71" s="83"/>
      <c r="HZ71" s="83"/>
      <c r="IA71" s="83"/>
      <c r="IB71" s="83"/>
      <c r="IC71" s="83"/>
      <c r="ID71" s="83"/>
      <c r="IE71" s="83"/>
      <c r="IF71" s="83"/>
      <c r="IG71" s="83"/>
      <c r="IH71" s="83"/>
      <c r="II71" s="83"/>
      <c r="IJ71" s="83"/>
      <c r="IK71" s="86"/>
      <c r="IL71" s="86"/>
      <c r="IM71" s="86"/>
      <c r="IN71" s="86"/>
      <c r="IO71" s="86"/>
      <c r="IP71" s="86"/>
      <c r="IQ71" s="86"/>
      <c r="IR71" s="86"/>
      <c r="IS71" s="86"/>
      <c r="IT71" s="86"/>
      <c r="IU71" s="86"/>
      <c r="IV71" s="86"/>
      <c r="IW71" s="86"/>
      <c r="IX71" s="86"/>
      <c r="IY71" s="86"/>
      <c r="IZ71" s="86"/>
      <c r="JA71" s="86"/>
      <c r="JB71" s="86"/>
      <c r="JC71" s="86"/>
      <c r="JD71" s="86"/>
      <c r="JE71" s="86"/>
      <c r="JF71" s="86"/>
      <c r="JG71" s="86"/>
      <c r="JH71" s="86"/>
      <c r="JI71" s="86"/>
      <c r="JJ71" s="86"/>
      <c r="JK71" s="86"/>
      <c r="JL71" s="86"/>
      <c r="JM71" s="86"/>
      <c r="JN71" s="86"/>
      <c r="JO71" s="86"/>
      <c r="JP71" s="86"/>
      <c r="JQ71" s="86"/>
      <c r="JR71" s="86"/>
      <c r="JS71" s="86"/>
      <c r="JT71" s="86"/>
      <c r="JU71" s="86"/>
      <c r="JV71" s="86"/>
      <c r="JW71" s="86"/>
      <c r="JX71" s="86"/>
      <c r="JY71" s="86"/>
      <c r="JZ71" s="86"/>
      <c r="KA71" s="86"/>
      <c r="KB71" s="86"/>
      <c r="KC71" s="86"/>
      <c r="KD71" s="86"/>
      <c r="KE71" s="86"/>
      <c r="KF71" s="86"/>
      <c r="KG71" s="86"/>
      <c r="KH71" s="86"/>
      <c r="KI71" s="86"/>
      <c r="KJ71" s="86"/>
      <c r="KK71" s="86"/>
      <c r="KL71" s="86"/>
      <c r="KM71" s="86"/>
      <c r="KN71" s="86"/>
      <c r="KO71" s="86"/>
      <c r="KP71" s="86"/>
      <c r="KQ71" s="86"/>
      <c r="KR71" s="86"/>
      <c r="KS71" s="86"/>
      <c r="KT71" s="86"/>
      <c r="KU71" s="86"/>
      <c r="KV71" s="86"/>
      <c r="KW71" s="86"/>
      <c r="KX71" s="86"/>
      <c r="KY71" s="86"/>
      <c r="KZ71" s="86"/>
      <c r="LA71" s="86"/>
      <c r="LB71" s="86"/>
      <c r="LC71" s="86"/>
      <c r="LD71" s="86"/>
      <c r="LE71" s="86"/>
      <c r="LF71" s="86"/>
      <c r="LG71" s="86"/>
      <c r="LH71" s="86"/>
      <c r="LI71" s="86"/>
      <c r="LJ71" s="86"/>
      <c r="LK71" s="86"/>
      <c r="LL71" s="86"/>
      <c r="LM71" s="86"/>
      <c r="LN71" s="86"/>
      <c r="LO71" s="86"/>
      <c r="LP71" s="86"/>
      <c r="LQ71" s="86"/>
      <c r="LR71" s="86"/>
      <c r="LS71" s="86"/>
      <c r="LT71" s="86"/>
      <c r="LU71" s="86"/>
      <c r="LV71" s="86"/>
      <c r="LW71" s="86"/>
      <c r="LX71" s="86"/>
      <c r="LY71" s="86"/>
      <c r="LZ71" s="86"/>
      <c r="MA71" s="86"/>
      <c r="MB71" s="86"/>
      <c r="MC71" s="86"/>
      <c r="MD71" s="86"/>
      <c r="ME71" s="86"/>
      <c r="MF71" s="86"/>
      <c r="MG71" s="86"/>
      <c r="MH71" s="86"/>
      <c r="MI71" s="86"/>
      <c r="MJ71" s="86"/>
      <c r="MK71" s="86"/>
      <c r="ML71" s="86"/>
      <c r="MM71" s="86"/>
      <c r="MN71" s="86"/>
      <c r="MO71" s="86"/>
      <c r="MP71" s="86"/>
      <c r="MQ71" s="86"/>
      <c r="MR71" s="86"/>
      <c r="MS71" s="86"/>
      <c r="MT71" s="86"/>
      <c r="MU71" s="86"/>
      <c r="MV71" s="86"/>
      <c r="MW71" s="86"/>
      <c r="MX71" s="86"/>
      <c r="MY71" s="86"/>
      <c r="MZ71" s="86"/>
      <c r="NA71" s="86"/>
      <c r="NB71" s="86"/>
      <c r="NC71" s="86"/>
      <c r="ND71" s="86"/>
      <c r="NE71" s="86"/>
      <c r="NF71" s="86"/>
      <c r="NG71" s="86"/>
      <c r="NH71" s="86"/>
      <c r="NI71" s="86"/>
      <c r="NJ71" s="86"/>
      <c r="NK71" s="86"/>
      <c r="NL71" s="86"/>
      <c r="NM71" s="86"/>
      <c r="NN71" s="86"/>
      <c r="NO71" s="86"/>
      <c r="NP71" s="86"/>
      <c r="NQ71" s="86"/>
      <c r="NR71" s="86"/>
      <c r="NS71" s="86"/>
      <c r="NT71" s="86"/>
      <c r="NU71" s="86"/>
      <c r="NV71" s="86"/>
      <c r="NW71" s="86"/>
      <c r="NX71" s="86"/>
      <c r="NY71" s="86"/>
      <c r="NZ71" s="86"/>
      <c r="OA71" s="86"/>
      <c r="OB71" s="86"/>
      <c r="OC71" s="86"/>
      <c r="OD71" s="86"/>
      <c r="OE71" s="86"/>
      <c r="OF71" s="86"/>
      <c r="OG71" s="86"/>
      <c r="OH71" s="86"/>
      <c r="OI71" s="86"/>
      <c r="OJ71" s="86"/>
      <c r="OK71" s="86"/>
      <c r="OL71" s="86"/>
      <c r="OM71" s="86"/>
      <c r="ON71" s="86"/>
      <c r="OO71" s="86"/>
      <c r="OP71" s="86"/>
      <c r="OQ71" s="86"/>
      <c r="OR71" s="86"/>
      <c r="OS71" s="86"/>
      <c r="OT71" s="86"/>
      <c r="OU71" s="86"/>
      <c r="OV71" s="86"/>
      <c r="OW71" s="86"/>
      <c r="OX71" s="86"/>
      <c r="OY71" s="86"/>
      <c r="OZ71" s="86"/>
      <c r="PA71" s="86"/>
      <c r="PB71" s="86"/>
      <c r="PC71" s="86"/>
      <c r="PD71" s="86"/>
      <c r="PE71" s="86"/>
      <c r="PF71" s="86"/>
      <c r="PG71" s="86"/>
      <c r="PH71" s="86"/>
      <c r="PI71" s="86"/>
      <c r="PJ71" s="86"/>
      <c r="PK71" s="86"/>
      <c r="PL71" s="86"/>
      <c r="PM71" s="86"/>
      <c r="PN71" s="86"/>
      <c r="PO71" s="86"/>
      <c r="PP71" s="86"/>
      <c r="PQ71" s="86"/>
      <c r="PR71" s="86"/>
      <c r="PS71" s="86"/>
      <c r="PT71" s="86"/>
      <c r="PU71" s="86"/>
      <c r="PV71" s="86"/>
      <c r="PW71" s="86"/>
      <c r="PX71" s="86"/>
      <c r="PY71" s="86"/>
      <c r="PZ71" s="86"/>
      <c r="QA71" s="86"/>
      <c r="QB71" s="86"/>
      <c r="QC71" s="86"/>
      <c r="QD71" s="86"/>
      <c r="QE71" s="86"/>
      <c r="QF71" s="86"/>
      <c r="QG71" s="86"/>
      <c r="QH71" s="86"/>
      <c r="QI71" s="86"/>
      <c r="QJ71" s="86"/>
      <c r="QK71" s="86"/>
      <c r="QL71" s="86"/>
      <c r="QM71" s="86"/>
      <c r="QN71" s="86"/>
      <c r="QO71" s="86"/>
      <c r="QP71" s="86"/>
      <c r="QQ71" s="86"/>
      <c r="QR71" s="86"/>
      <c r="QS71" s="86"/>
      <c r="QT71" s="86"/>
      <c r="QU71" s="86"/>
      <c r="QV71" s="86"/>
      <c r="QW71" s="86"/>
      <c r="QX71" s="86"/>
      <c r="QY71" s="86"/>
      <c r="QZ71" s="86"/>
      <c r="RA71" s="86"/>
      <c r="RB71" s="86"/>
      <c r="RC71" s="86"/>
      <c r="RD71" s="86"/>
      <c r="RE71" s="86"/>
      <c r="RF71" s="86"/>
      <c r="RG71" s="86"/>
      <c r="RH71" s="86"/>
      <c r="RI71" s="86"/>
      <c r="RJ71" s="86"/>
      <c r="RK71" s="86"/>
      <c r="RL71" s="86"/>
      <c r="RM71" s="86"/>
      <c r="RN71" s="86"/>
      <c r="RO71" s="86"/>
      <c r="RP71" s="86"/>
      <c r="RQ71" s="86"/>
      <c r="RR71" s="86"/>
      <c r="RS71" s="86"/>
      <c r="RT71" s="86"/>
      <c r="RU71" s="86"/>
      <c r="RV71" s="86"/>
      <c r="RW71" s="86"/>
      <c r="RX71" s="86"/>
      <c r="RY71" s="86"/>
      <c r="RZ71" s="86"/>
      <c r="SA71" s="86"/>
      <c r="SB71" s="86"/>
      <c r="SC71" s="86"/>
      <c r="SD71" s="86"/>
      <c r="SE71" s="86"/>
      <c r="SF71" s="86"/>
      <c r="SG71" s="86"/>
      <c r="SH71" s="86"/>
      <c r="SI71" s="86"/>
      <c r="SJ71" s="86"/>
      <c r="SK71" s="86"/>
      <c r="SL71" s="86"/>
      <c r="SM71" s="86"/>
      <c r="SN71" s="86"/>
      <c r="SO71" s="86"/>
      <c r="SP71" s="86"/>
      <c r="SQ71" s="86"/>
      <c r="SR71" s="86"/>
      <c r="SS71" s="86"/>
      <c r="ST71" s="86"/>
      <c r="SU71" s="86"/>
      <c r="SV71" s="86"/>
      <c r="SW71" s="86"/>
      <c r="SX71" s="86"/>
      <c r="SY71" s="86"/>
      <c r="SZ71" s="86"/>
      <c r="TA71" s="86"/>
      <c r="TB71" s="86"/>
      <c r="TC71" s="86"/>
      <c r="TD71" s="86"/>
      <c r="TE71" s="86"/>
      <c r="TF71" s="86"/>
      <c r="TG71" s="86"/>
      <c r="TH71" s="86"/>
      <c r="TI71" s="86"/>
      <c r="TJ71" s="86"/>
      <c r="TK71" s="86"/>
      <c r="TL71" s="86"/>
      <c r="TM71" s="86"/>
      <c r="TN71" s="86"/>
      <c r="TO71" s="86"/>
      <c r="TP71" s="86"/>
      <c r="TQ71" s="86"/>
      <c r="TR71" s="86"/>
      <c r="TS71" s="86"/>
      <c r="TT71" s="86"/>
      <c r="TU71" s="86"/>
      <c r="TV71" s="86"/>
      <c r="TW71" s="86"/>
      <c r="TX71" s="86"/>
      <c r="TY71" s="86"/>
      <c r="TZ71" s="86"/>
      <c r="UA71" s="86"/>
      <c r="UB71" s="86"/>
      <c r="UC71" s="86"/>
      <c r="UD71" s="86"/>
      <c r="UE71" s="86"/>
      <c r="UF71" s="86"/>
      <c r="UG71" s="86"/>
      <c r="UH71" s="86"/>
      <c r="UI71" s="86"/>
      <c r="UJ71" s="86"/>
      <c r="UK71" s="86"/>
      <c r="UL71" s="86"/>
      <c r="UM71" s="86"/>
      <c r="UN71" s="86"/>
      <c r="UO71" s="86"/>
      <c r="UP71" s="86"/>
      <c r="UQ71" s="86"/>
      <c r="UR71" s="86"/>
      <c r="US71" s="86"/>
      <c r="UT71" s="86"/>
      <c r="UU71" s="86"/>
      <c r="UV71" s="86"/>
      <c r="UW71" s="86"/>
      <c r="UX71" s="86"/>
      <c r="UY71" s="86"/>
      <c r="UZ71" s="86"/>
      <c r="VA71" s="86"/>
      <c r="VB71" s="86"/>
      <c r="VC71" s="86"/>
      <c r="VD71" s="86"/>
      <c r="VE71" s="86"/>
      <c r="VF71" s="86"/>
      <c r="VG71" s="86"/>
      <c r="VH71" s="86"/>
      <c r="VI71" s="86"/>
      <c r="VJ71" s="86"/>
      <c r="VK71" s="86"/>
      <c r="VL71" s="86"/>
      <c r="VM71" s="86"/>
      <c r="VN71" s="86"/>
      <c r="VO71" s="86"/>
      <c r="VP71" s="86"/>
      <c r="VQ71" s="86"/>
      <c r="VR71" s="86"/>
      <c r="VS71" s="86"/>
      <c r="VT71" s="86"/>
      <c r="VU71" s="86"/>
      <c r="VV71" s="86"/>
      <c r="VW71" s="86"/>
      <c r="VX71" s="86"/>
      <c r="VY71" s="86"/>
      <c r="VZ71" s="86"/>
      <c r="WA71" s="86"/>
      <c r="WB71" s="86"/>
      <c r="WC71" s="86"/>
      <c r="WD71" s="86"/>
      <c r="WE71" s="86"/>
      <c r="WF71" s="86"/>
      <c r="WG71" s="86"/>
      <c r="WH71" s="86"/>
      <c r="WI71" s="86"/>
      <c r="WJ71" s="86"/>
      <c r="WK71" s="86"/>
      <c r="WL71" s="86"/>
      <c r="WM71" s="86"/>
      <c r="WN71" s="86"/>
      <c r="WO71" s="86"/>
      <c r="WP71" s="86"/>
      <c r="WQ71" s="86"/>
      <c r="WR71" s="86"/>
      <c r="WS71" s="86"/>
      <c r="WT71" s="86"/>
      <c r="WU71" s="86"/>
      <c r="WV71" s="86"/>
      <c r="WW71" s="86"/>
      <c r="WX71" s="86"/>
      <c r="WY71" s="86"/>
      <c r="WZ71" s="86"/>
      <c r="XA71" s="86"/>
      <c r="XB71" s="86"/>
      <c r="XC71" s="86"/>
      <c r="XD71" s="86"/>
      <c r="XE71" s="86"/>
      <c r="XF71" s="86"/>
      <c r="XG71" s="86"/>
      <c r="XH71" s="86"/>
      <c r="XI71" s="86"/>
      <c r="XJ71" s="86"/>
      <c r="XK71" s="86"/>
      <c r="XL71" s="86"/>
      <c r="XM71" s="86"/>
      <c r="XN71" s="86"/>
      <c r="XO71" s="86"/>
      <c r="XP71" s="86"/>
      <c r="XQ71" s="86"/>
      <c r="XR71" s="86"/>
      <c r="XS71" s="86"/>
      <c r="XT71" s="86"/>
      <c r="XU71" s="86"/>
      <c r="XV71" s="86"/>
      <c r="XW71" s="86"/>
      <c r="XX71" s="86"/>
      <c r="XY71" s="86"/>
      <c r="XZ71" s="86"/>
      <c r="YA71" s="86"/>
      <c r="YB71" s="86"/>
      <c r="YC71" s="86"/>
      <c r="YD71" s="86"/>
      <c r="YE71" s="86"/>
      <c r="YF71" s="86"/>
      <c r="YG71" s="86"/>
      <c r="YH71" s="86"/>
      <c r="YI71" s="86"/>
      <c r="YJ71" s="86"/>
      <c r="YK71" s="86"/>
      <c r="YL71" s="86"/>
      <c r="YM71" s="86"/>
      <c r="YN71" s="86"/>
      <c r="YO71" s="86"/>
      <c r="YP71" s="86"/>
      <c r="YQ71" s="86"/>
      <c r="YR71" s="86"/>
      <c r="YS71" s="86"/>
      <c r="YT71" s="86"/>
      <c r="YU71" s="86"/>
      <c r="YV71" s="86"/>
      <c r="YW71" s="86"/>
      <c r="YX71" s="86"/>
      <c r="YY71" s="86"/>
      <c r="YZ71" s="86"/>
      <c r="ZA71" s="86"/>
      <c r="ZB71" s="86"/>
      <c r="ZC71" s="86"/>
      <c r="ZD71" s="86"/>
      <c r="ZE71" s="86"/>
      <c r="ZF71" s="86"/>
      <c r="ZG71" s="86"/>
      <c r="ZH71" s="86"/>
      <c r="ZI71" s="86"/>
      <c r="ZJ71" s="86"/>
      <c r="ZK71" s="86"/>
      <c r="ZL71" s="86"/>
      <c r="ZM71" s="86"/>
      <c r="ZN71" s="86"/>
      <c r="ZO71" s="86"/>
      <c r="ZP71" s="86"/>
      <c r="ZQ71" s="86"/>
      <c r="ZR71" s="86"/>
      <c r="ZS71" s="86"/>
      <c r="ZT71" s="86"/>
      <c r="ZU71" s="86"/>
      <c r="ZV71" s="86"/>
      <c r="ZW71" s="86"/>
      <c r="ZX71" s="86"/>
      <c r="ZY71" s="86"/>
      <c r="ZZ71" s="86"/>
      <c r="AAA71" s="86"/>
      <c r="AAB71" s="86"/>
      <c r="AAC71" s="86"/>
      <c r="AAD71" s="86"/>
      <c r="AAE71" s="86"/>
      <c r="AAF71" s="86"/>
      <c r="AAG71" s="86"/>
      <c r="AAH71" s="86"/>
      <c r="AAI71" s="86"/>
      <c r="AAJ71" s="86"/>
      <c r="AAK71" s="86"/>
      <c r="AAL71" s="86"/>
      <c r="AAM71" s="86"/>
      <c r="AAN71" s="86"/>
      <c r="AAO71" s="86"/>
      <c r="AAP71" s="86"/>
      <c r="AAQ71" s="86"/>
      <c r="AAR71" s="86"/>
      <c r="AAS71" s="86"/>
      <c r="AAT71" s="86"/>
      <c r="AAU71" s="86"/>
      <c r="AAV71" s="86"/>
      <c r="AAW71" s="86"/>
      <c r="AAX71" s="86"/>
      <c r="AAY71" s="86"/>
      <c r="AAZ71" s="86"/>
      <c r="ABA71" s="86"/>
      <c r="ABB71" s="86"/>
      <c r="ABC71" s="86"/>
      <c r="ABD71" s="86"/>
      <c r="ABE71" s="86"/>
      <c r="ABF71" s="86"/>
      <c r="ABG71" s="86"/>
      <c r="ABH71" s="86"/>
      <c r="ABI71" s="86"/>
      <c r="ABJ71" s="86"/>
      <c r="ABK71" s="86"/>
      <c r="ABL71" s="86"/>
      <c r="ABM71" s="86"/>
      <c r="ABN71" s="86"/>
      <c r="ABO71" s="86"/>
      <c r="ABP71" s="86"/>
      <c r="ABQ71" s="86"/>
      <c r="ABR71" s="86"/>
      <c r="ABS71" s="86"/>
      <c r="ABT71" s="86"/>
      <c r="ABU71" s="86"/>
      <c r="ABV71" s="86"/>
      <c r="ABW71" s="86"/>
      <c r="ABX71" s="86"/>
      <c r="ABY71" s="86"/>
      <c r="ABZ71" s="86"/>
      <c r="ACA71" s="86"/>
      <c r="ACB71" s="86"/>
      <c r="ACC71" s="86"/>
      <c r="ACD71" s="86"/>
      <c r="ACE71" s="86"/>
      <c r="ACF71" s="86"/>
      <c r="ACG71" s="86"/>
      <c r="ACH71" s="86"/>
      <c r="ACI71" s="86"/>
      <c r="ACJ71" s="86"/>
      <c r="ACK71" s="86"/>
      <c r="ACL71" s="86"/>
      <c r="ACM71" s="86"/>
      <c r="ACN71" s="86"/>
      <c r="ACO71" s="86"/>
      <c r="ACP71" s="86"/>
      <c r="ACQ71" s="86"/>
      <c r="ACR71" s="86"/>
      <c r="ACS71" s="86"/>
      <c r="ACT71" s="86"/>
      <c r="ACU71" s="86"/>
      <c r="ACV71" s="86"/>
      <c r="ACW71" s="86"/>
      <c r="ACX71" s="86"/>
      <c r="ACY71" s="86"/>
      <c r="ACZ71" s="86"/>
      <c r="ADA71" s="86"/>
      <c r="ADB71" s="86"/>
      <c r="ADC71" s="86"/>
      <c r="ADD71" s="86"/>
      <c r="ADE71" s="86"/>
      <c r="ADF71" s="86"/>
      <c r="ADG71" s="86"/>
      <c r="ADH71" s="86"/>
      <c r="ADI71" s="86"/>
      <c r="ADJ71" s="86"/>
      <c r="ADK71" s="86"/>
      <c r="ADL71" s="86"/>
      <c r="ADM71" s="86"/>
      <c r="ADN71" s="86"/>
      <c r="ADO71" s="86"/>
      <c r="ADP71" s="86"/>
      <c r="ADQ71" s="86"/>
      <c r="ADR71" s="86"/>
      <c r="ADS71" s="86"/>
      <c r="ADT71" s="86"/>
      <c r="ADU71" s="86"/>
      <c r="ADV71" s="86"/>
      <c r="ADW71" s="86"/>
      <c r="ADX71" s="86"/>
      <c r="ADY71" s="86"/>
      <c r="ADZ71" s="86"/>
      <c r="AEA71" s="86"/>
      <c r="AEB71" s="86"/>
      <c r="AEC71" s="86"/>
      <c r="AED71" s="86"/>
      <c r="AEE71" s="86"/>
      <c r="AEF71" s="86"/>
      <c r="AEG71" s="86"/>
      <c r="AEH71" s="86"/>
      <c r="AEI71" s="86"/>
      <c r="AEJ71" s="86"/>
      <c r="AEK71" s="86"/>
      <c r="AEL71" s="86"/>
      <c r="AEM71" s="86"/>
      <c r="AEN71" s="86"/>
      <c r="AEO71" s="86"/>
      <c r="AEP71" s="86"/>
      <c r="AEQ71" s="86"/>
      <c r="AER71" s="86"/>
      <c r="AES71" s="86"/>
      <c r="AET71" s="86"/>
      <c r="AEU71" s="86"/>
      <c r="AEV71" s="86"/>
      <c r="AEW71" s="86"/>
      <c r="AEX71" s="86"/>
      <c r="AEY71" s="86"/>
      <c r="AEZ71" s="86"/>
      <c r="AFA71" s="86"/>
      <c r="AFB71" s="86"/>
      <c r="AFC71" s="86"/>
      <c r="AFD71" s="86"/>
      <c r="AFE71" s="86"/>
      <c r="AFF71" s="86"/>
      <c r="AFG71" s="86"/>
      <c r="AFH71" s="86"/>
      <c r="AFI71" s="86"/>
      <c r="AFJ71" s="86"/>
      <c r="AFK71" s="86"/>
      <c r="AFL71" s="86"/>
      <c r="AFM71" s="86"/>
      <c r="AFN71" s="86"/>
      <c r="AFO71" s="86"/>
      <c r="AFP71" s="86"/>
      <c r="AFQ71" s="86"/>
      <c r="AFR71" s="86"/>
      <c r="AFS71" s="86"/>
      <c r="AFT71" s="86"/>
      <c r="AFU71" s="86"/>
      <c r="AFV71" s="86"/>
      <c r="AFW71" s="86"/>
      <c r="AFX71" s="86"/>
      <c r="AFY71" s="86"/>
      <c r="AFZ71" s="86"/>
      <c r="AGA71" s="86"/>
      <c r="AGB71" s="86"/>
      <c r="AGC71" s="86"/>
      <c r="AGD71" s="86"/>
      <c r="AGE71" s="86"/>
      <c r="AGF71" s="86"/>
      <c r="AGG71" s="86"/>
      <c r="AGH71" s="86"/>
      <c r="AGI71" s="86"/>
      <c r="AGJ71" s="86"/>
      <c r="AGK71" s="86"/>
      <c r="AGL71" s="86"/>
      <c r="AGM71" s="86"/>
      <c r="AGN71" s="86"/>
      <c r="AGO71" s="86"/>
      <c r="AGP71" s="86"/>
      <c r="AGQ71" s="86"/>
      <c r="AGR71" s="86"/>
      <c r="AGS71" s="86"/>
      <c r="AGT71" s="86"/>
      <c r="AGU71" s="86"/>
      <c r="AGV71" s="86"/>
      <c r="AGW71" s="86"/>
      <c r="AGX71" s="86"/>
      <c r="AGY71" s="86"/>
      <c r="AGZ71" s="86"/>
      <c r="AHA71" s="86"/>
      <c r="AHB71" s="86"/>
      <c r="AHC71" s="86"/>
      <c r="AHD71" s="86"/>
      <c r="AHE71" s="86"/>
      <c r="AHF71" s="86"/>
      <c r="AHG71" s="86"/>
      <c r="AHH71" s="86"/>
      <c r="AHI71" s="86"/>
      <c r="AHJ71" s="86"/>
      <c r="AHK71" s="86"/>
      <c r="AHL71" s="86"/>
      <c r="AHM71" s="86"/>
      <c r="AHN71" s="86"/>
      <c r="AHO71" s="86"/>
      <c r="AHP71" s="86"/>
      <c r="AHQ71" s="86"/>
      <c r="AHR71" s="86"/>
      <c r="AHS71" s="86"/>
      <c r="AHT71" s="86"/>
      <c r="AHU71" s="86"/>
      <c r="AHV71" s="86"/>
      <c r="AHW71" s="86"/>
      <c r="AHX71" s="86"/>
      <c r="AHY71" s="86"/>
      <c r="AHZ71" s="86"/>
      <c r="AIA71" s="86"/>
      <c r="AIB71" s="86"/>
      <c r="AIC71" s="86"/>
      <c r="AID71" s="86"/>
      <c r="AIE71" s="86"/>
      <c r="AIF71" s="86"/>
      <c r="AIG71" s="86"/>
      <c r="AIH71" s="86"/>
      <c r="AII71" s="86"/>
      <c r="AIJ71" s="86"/>
      <c r="AIK71" s="86"/>
      <c r="AIL71" s="86"/>
      <c r="AIM71" s="86"/>
      <c r="AIN71" s="86"/>
      <c r="AIO71" s="86"/>
      <c r="AIP71" s="86"/>
      <c r="AIQ71" s="86"/>
      <c r="AIR71" s="86"/>
      <c r="AIS71" s="86"/>
      <c r="AIT71" s="86"/>
      <c r="AIU71" s="86"/>
      <c r="AIV71" s="86"/>
      <c r="AIW71" s="86"/>
      <c r="AIX71" s="86"/>
      <c r="AIY71" s="86"/>
      <c r="AIZ71" s="86"/>
      <c r="AJA71" s="86"/>
      <c r="AJB71" s="86"/>
      <c r="AJC71" s="86"/>
      <c r="AJD71" s="86"/>
      <c r="AJE71" s="86"/>
      <c r="AJF71" s="86"/>
      <c r="AJG71" s="86"/>
      <c r="AJH71" s="86"/>
      <c r="AJI71" s="86"/>
      <c r="AJJ71" s="86"/>
      <c r="AJK71" s="86"/>
      <c r="AJL71" s="86"/>
      <c r="AJM71" s="86"/>
      <c r="AJN71" s="86"/>
      <c r="AJO71" s="86"/>
      <c r="AJP71" s="86"/>
      <c r="AJQ71" s="86"/>
      <c r="AJR71" s="86"/>
      <c r="AJS71" s="86"/>
      <c r="AJT71" s="86"/>
      <c r="AJU71" s="86"/>
      <c r="AJV71" s="86"/>
      <c r="AJW71" s="86"/>
      <c r="AJX71" s="86"/>
      <c r="AJY71" s="86"/>
      <c r="AJZ71" s="86"/>
      <c r="AKA71" s="86"/>
      <c r="AKB71" s="86"/>
      <c r="AKC71" s="86"/>
      <c r="AKD71" s="86"/>
      <c r="AKE71" s="86"/>
      <c r="AKF71" s="86"/>
      <c r="AKG71" s="86"/>
      <c r="AKH71" s="86"/>
      <c r="AKI71" s="86"/>
      <c r="AKJ71" s="86"/>
      <c r="AKK71" s="86"/>
      <c r="AKL71" s="86"/>
      <c r="AKM71" s="86"/>
      <c r="AKN71" s="86"/>
      <c r="AKO71" s="86"/>
      <c r="AKP71" s="86"/>
      <c r="AKQ71" s="86"/>
      <c r="AKR71" s="86"/>
      <c r="AKS71" s="86"/>
      <c r="AKT71" s="86"/>
      <c r="AKU71" s="86"/>
      <c r="AKV71" s="86"/>
      <c r="AKW71" s="86"/>
      <c r="AKX71" s="86"/>
      <c r="AKY71" s="86"/>
      <c r="AKZ71" s="86"/>
      <c r="ALA71" s="86"/>
      <c r="ALB71" s="86"/>
      <c r="ALC71" s="86"/>
      <c r="ALD71" s="86"/>
      <c r="ALE71" s="86"/>
      <c r="ALF71" s="86"/>
      <c r="ALG71" s="86"/>
      <c r="ALH71" s="86"/>
      <c r="ALI71" s="86"/>
      <c r="ALJ71" s="86"/>
      <c r="ALK71" s="86"/>
      <c r="ALL71" s="86"/>
      <c r="ALM71" s="86"/>
      <c r="ALN71" s="86"/>
      <c r="ALO71" s="86"/>
      <c r="ALP71" s="86"/>
      <c r="ALQ71" s="86"/>
      <c r="ALR71" s="86"/>
      <c r="ALS71" s="86"/>
      <c r="ALT71" s="86"/>
      <c r="ALU71" s="86"/>
      <c r="ALV71" s="86"/>
      <c r="ALW71" s="86"/>
      <c r="ALX71" s="86"/>
      <c r="ALY71" s="86"/>
      <c r="ALZ71" s="86"/>
      <c r="AMA71" s="86"/>
      <c r="AMB71" s="86"/>
      <c r="AMC71" s="86"/>
      <c r="AMD71" s="86"/>
      <c r="AME71" s="86"/>
      <c r="AMF71" s="86"/>
      <c r="AMG71" s="86"/>
      <c r="AMH71" s="86"/>
      <c r="AMI71" s="86"/>
      <c r="AMJ71" s="86"/>
      <c r="AMK71" s="86"/>
      <c r="AML71" s="86"/>
      <c r="AMM71" s="86"/>
      <c r="AMN71" s="86"/>
      <c r="AMO71" s="86"/>
      <c r="AMP71" s="86"/>
      <c r="AMQ71" s="86"/>
      <c r="AMR71" s="86"/>
      <c r="AMS71" s="86"/>
    </row>
    <row r="72" spans="1:1033" s="86" customFormat="1" ht="12.95" customHeight="1" x14ac:dyDescent="0.2">
      <c r="A72" s="82" t="s">
        <v>496</v>
      </c>
      <c r="B72" s="72">
        <v>2</v>
      </c>
      <c r="C72" s="93">
        <f t="shared" si="114"/>
        <v>94.522059808562119</v>
      </c>
      <c r="D72" s="93">
        <f t="shared" si="115"/>
        <v>88.646157850562687</v>
      </c>
      <c r="E72" s="92">
        <f>VLOOKUP(A72,[3]TRTOTAL!$A$7:$D$313,3,FALSE)</f>
        <v>94.522059808562119</v>
      </c>
      <c r="F72" s="92">
        <f>VLOOKUP(A72,[3]TRTOTAL!$A$7:$D$313,4,FALSE)</f>
        <v>88.646157850562687</v>
      </c>
      <c r="G72" s="92">
        <f t="shared" si="112"/>
        <v>0</v>
      </c>
      <c r="H72" s="92">
        <f t="shared" si="113"/>
        <v>0</v>
      </c>
      <c r="I72" s="72">
        <v>5.5</v>
      </c>
      <c r="J72" s="56">
        <v>5.5</v>
      </c>
      <c r="K72" s="54">
        <v>3</v>
      </c>
      <c r="L72" s="75">
        <v>2</v>
      </c>
      <c r="M72" s="75"/>
      <c r="N72" s="75">
        <v>159.6</v>
      </c>
      <c r="O72" s="85" t="s">
        <v>595</v>
      </c>
      <c r="P72" s="76">
        <f t="shared" si="87"/>
        <v>17.854334999999999</v>
      </c>
      <c r="Q72" s="76">
        <f t="shared" si="86"/>
        <v>9.1999999999999993</v>
      </c>
      <c r="R72" s="76">
        <f t="shared" si="116"/>
        <v>5.5063346666666675</v>
      </c>
      <c r="S72" s="88">
        <v>9.6</v>
      </c>
      <c r="T72" s="77">
        <f t="shared" si="88"/>
        <v>6.6457999999999995</v>
      </c>
      <c r="U72" s="77"/>
      <c r="V72" s="76">
        <f t="shared" si="117"/>
        <v>2.2050000000000001</v>
      </c>
      <c r="W72" s="76">
        <f t="shared" si="118"/>
        <v>2.4125000000000001</v>
      </c>
      <c r="X72" s="76">
        <f t="shared" si="89"/>
        <v>3.0676727965851431</v>
      </c>
      <c r="Y72" s="25">
        <f t="shared" si="128"/>
        <v>1</v>
      </c>
      <c r="Z72" s="76">
        <f t="shared" si="119"/>
        <v>16.744076225041741</v>
      </c>
      <c r="AA72" s="77">
        <f t="shared" si="90"/>
        <v>2.2978447920909311</v>
      </c>
      <c r="AB72" s="76">
        <f t="shared" si="120"/>
        <v>5.0885179087169572</v>
      </c>
      <c r="AC72" s="76">
        <f>rsam+rsag+IF(rsascr,rsascr-0.13*rsag,rsas-0.13*rsag)</f>
        <v>26.043184011872</v>
      </c>
      <c r="AD72" s="79">
        <f t="shared" si="92"/>
        <v>303.60000000000002</v>
      </c>
      <c r="AE72" s="79">
        <f t="shared" si="93"/>
        <v>309.60000000000002</v>
      </c>
      <c r="AF72" s="21">
        <f t="shared" si="94"/>
        <v>3.4599199999999999</v>
      </c>
      <c r="AG72" s="77">
        <f t="shared" si="95"/>
        <v>4.8720972062465089</v>
      </c>
      <c r="AH72" s="114">
        <f t="shared" si="129"/>
        <v>0.95</v>
      </c>
      <c r="AI72" s="80">
        <f t="shared" si="96"/>
        <v>92.474692507955012</v>
      </c>
      <c r="AJ72" s="80">
        <f t="shared" si="97"/>
        <v>86.726063797647654</v>
      </c>
      <c r="AK72" s="73">
        <v>9.1999999999999993</v>
      </c>
      <c r="AL72" s="73">
        <v>2.2050000000000001</v>
      </c>
      <c r="AM72" s="77">
        <f t="shared" si="81"/>
        <v>10.142999999999999</v>
      </c>
      <c r="AN72" s="72">
        <v>9.1999999999999993</v>
      </c>
      <c r="AO72" s="73">
        <v>0.09</v>
      </c>
      <c r="AP72" s="77">
        <f t="shared" si="98"/>
        <v>0.55199999999999994</v>
      </c>
      <c r="AQ72" s="73">
        <v>2.2320000000000002</v>
      </c>
      <c r="AR72" s="73">
        <v>4.4999999999999998E-2</v>
      </c>
      <c r="AS72" s="77">
        <f t="shared" si="99"/>
        <v>6.6960000000000006E-2</v>
      </c>
      <c r="AT72" s="72">
        <v>9.0500000000000007</v>
      </c>
      <c r="AU72" s="72">
        <v>0.995</v>
      </c>
      <c r="AV72" s="77">
        <f t="shared" si="100"/>
        <v>4.5023750000000007</v>
      </c>
      <c r="AW72" s="72">
        <v>0</v>
      </c>
      <c r="AX72" s="72">
        <v>0</v>
      </c>
      <c r="AY72" s="77">
        <f t="shared" si="101"/>
        <v>0</v>
      </c>
      <c r="AZ72" s="72">
        <v>0</v>
      </c>
      <c r="BA72" s="72">
        <v>0</v>
      </c>
      <c r="BB72" s="77">
        <f t="shared" si="102"/>
        <v>0</v>
      </c>
      <c r="BC72" s="72">
        <v>0</v>
      </c>
      <c r="BD72" s="72">
        <v>0</v>
      </c>
      <c r="BE72" s="77">
        <f t="shared" si="103"/>
        <v>0</v>
      </c>
      <c r="BF72" s="73">
        <v>0</v>
      </c>
      <c r="BG72" s="73">
        <v>0</v>
      </c>
      <c r="BH72" s="77">
        <f t="shared" si="104"/>
        <v>0</v>
      </c>
      <c r="BI72" s="73">
        <v>8.9700000000000006</v>
      </c>
      <c r="BJ72" s="73">
        <v>0.1</v>
      </c>
      <c r="BK72" s="77">
        <f t="shared" si="105"/>
        <v>0.59800000000000009</v>
      </c>
      <c r="BL72" s="73"/>
      <c r="BM72" s="73"/>
      <c r="BN72" s="77">
        <f t="shared" si="52"/>
        <v>0</v>
      </c>
      <c r="BO72" s="73"/>
      <c r="BP72" s="73"/>
      <c r="BQ72" s="77">
        <f t="shared" si="53"/>
        <v>0</v>
      </c>
      <c r="BR72" s="73"/>
      <c r="BS72" s="77">
        <f t="shared" si="106"/>
        <v>15.862335</v>
      </c>
      <c r="BT72" s="74">
        <v>7.07</v>
      </c>
      <c r="BU72" s="74">
        <v>1.548</v>
      </c>
      <c r="BV72" s="77">
        <f t="shared" si="82"/>
        <v>5.4721800000000007</v>
      </c>
      <c r="BW72" s="77">
        <f t="shared" si="121"/>
        <v>7.07</v>
      </c>
      <c r="BX72" s="73">
        <v>0</v>
      </c>
      <c r="BY72" s="77">
        <f t="shared" si="83"/>
        <v>0</v>
      </c>
      <c r="BZ72" s="73">
        <v>6.8120000000000003</v>
      </c>
      <c r="CA72" s="73">
        <v>0</v>
      </c>
      <c r="CB72" s="77">
        <f t="shared" si="84"/>
        <v>0</v>
      </c>
      <c r="CC72" s="72">
        <v>1.601</v>
      </c>
      <c r="CD72" s="72">
        <v>3.2000000000000001E-2</v>
      </c>
      <c r="CE72" s="77">
        <f t="shared" si="85"/>
        <v>3.4154666666666667E-2</v>
      </c>
      <c r="CF72" s="77"/>
      <c r="CG72" s="77"/>
      <c r="CH72" s="21">
        <f t="shared" si="122"/>
        <v>0</v>
      </c>
      <c r="CI72" s="25">
        <f t="shared" si="123"/>
        <v>5.5063346666666675</v>
      </c>
      <c r="CJ72" s="72">
        <v>0.41499999999999998</v>
      </c>
      <c r="CK72" s="21">
        <f t="shared" si="107"/>
        <v>1.9919999999999998</v>
      </c>
      <c r="CL72" s="73" t="s">
        <v>494</v>
      </c>
      <c r="CM72" s="73" t="s">
        <v>495</v>
      </c>
      <c r="CN72" s="81">
        <v>42655</v>
      </c>
      <c r="CO72" s="73" t="s">
        <v>148</v>
      </c>
      <c r="CP72" s="73">
        <v>111</v>
      </c>
      <c r="CQ72" s="73">
        <v>222</v>
      </c>
      <c r="CR72" s="73">
        <v>333</v>
      </c>
      <c r="CS72" s="73">
        <v>444</v>
      </c>
      <c r="CT72" s="73"/>
      <c r="CU72" s="73"/>
      <c r="CV72" s="73"/>
      <c r="CW72" s="73"/>
      <c r="CX72" s="73"/>
      <c r="CY72" s="77">
        <f t="shared" si="124"/>
        <v>0</v>
      </c>
      <c r="CZ72" s="74">
        <v>4.18</v>
      </c>
      <c r="DA72" s="74">
        <v>10.24</v>
      </c>
      <c r="DB72" s="74">
        <v>9.2799999999999994</v>
      </c>
      <c r="DC72" s="74">
        <v>2.5</v>
      </c>
      <c r="DD72" s="61">
        <f t="shared" si="125"/>
        <v>0.59808612440191389</v>
      </c>
      <c r="DE72" s="21">
        <f t="shared" si="126"/>
        <v>23.066133333333333</v>
      </c>
      <c r="DF72" s="73">
        <v>0</v>
      </c>
      <c r="DG72" s="73">
        <v>0</v>
      </c>
      <c r="DH72" s="73"/>
      <c r="DI72" s="73"/>
      <c r="DJ72" s="105"/>
      <c r="DK72" s="82"/>
      <c r="DL72" s="83"/>
      <c r="DM72" s="58">
        <f t="shared" si="108"/>
        <v>1013.314932692631</v>
      </c>
      <c r="DN72" s="79">
        <f t="shared" si="109"/>
        <v>830.40000000000009</v>
      </c>
      <c r="DO72" s="77">
        <f t="shared" si="110"/>
        <v>0.81948856491576583</v>
      </c>
      <c r="DP72" s="84">
        <f t="shared" si="127"/>
        <v>1.0221397578632769</v>
      </c>
      <c r="DQ72" s="85" t="s">
        <v>130</v>
      </c>
      <c r="DR72" s="107">
        <f t="shared" si="111"/>
        <v>0</v>
      </c>
      <c r="DS72" s="83"/>
      <c r="DT72" s="83"/>
      <c r="DU72" s="83"/>
      <c r="DV72" s="83"/>
      <c r="DW72" s="83"/>
      <c r="DX72" s="83"/>
      <c r="DY72" s="83"/>
      <c r="DZ72" s="83"/>
      <c r="EA72" s="83"/>
      <c r="EB72" s="83"/>
      <c r="EC72" s="83"/>
      <c r="ED72" s="83"/>
      <c r="EE72" s="83"/>
      <c r="EF72" s="83"/>
      <c r="EG72" s="83"/>
      <c r="EH72" s="83"/>
      <c r="EI72" s="83"/>
      <c r="EJ72" s="83"/>
      <c r="EK72" s="83"/>
      <c r="EL72" s="83"/>
      <c r="EM72" s="83"/>
      <c r="EN72" s="83"/>
      <c r="EO72" s="83"/>
      <c r="EP72" s="83"/>
      <c r="EQ72" s="83"/>
      <c r="ER72" s="83"/>
      <c r="ES72" s="83"/>
      <c r="ET72" s="83"/>
      <c r="EU72" s="83"/>
      <c r="EV72" s="83"/>
      <c r="EW72" s="83"/>
      <c r="EX72" s="83"/>
      <c r="EY72" s="83"/>
      <c r="EZ72" s="83"/>
      <c r="FA72" s="83"/>
      <c r="FB72" s="83"/>
      <c r="FC72" s="83"/>
      <c r="FD72" s="83"/>
      <c r="FE72" s="83"/>
      <c r="FF72" s="83"/>
      <c r="FG72" s="83"/>
      <c r="FH72" s="83"/>
      <c r="FI72" s="83"/>
      <c r="FJ72" s="83"/>
      <c r="FK72" s="83"/>
      <c r="FL72" s="83"/>
      <c r="FM72" s="83"/>
      <c r="FN72" s="83"/>
      <c r="FO72" s="83"/>
      <c r="FP72" s="83"/>
      <c r="FQ72" s="83"/>
      <c r="FR72" s="83"/>
      <c r="FS72" s="83"/>
      <c r="FT72" s="83"/>
      <c r="FU72" s="83"/>
      <c r="FV72" s="83"/>
      <c r="FW72" s="83"/>
      <c r="FX72" s="83"/>
      <c r="FY72" s="83"/>
      <c r="FZ72" s="83"/>
      <c r="GA72" s="83"/>
      <c r="GB72" s="83"/>
      <c r="GC72" s="83"/>
      <c r="GD72" s="83"/>
      <c r="GE72" s="83"/>
      <c r="GF72" s="83"/>
      <c r="GG72" s="83"/>
      <c r="GH72" s="83"/>
      <c r="GI72" s="83"/>
      <c r="GJ72" s="83"/>
      <c r="GK72" s="83"/>
      <c r="GL72" s="83"/>
      <c r="GM72" s="83"/>
      <c r="GN72" s="83"/>
      <c r="GO72" s="83"/>
      <c r="GP72" s="83"/>
      <c r="GQ72" s="83"/>
      <c r="GR72" s="83"/>
      <c r="GS72" s="83"/>
      <c r="GT72" s="83"/>
      <c r="GU72" s="83"/>
      <c r="GV72" s="83"/>
      <c r="GW72" s="83"/>
      <c r="GX72" s="83"/>
      <c r="GY72" s="83"/>
      <c r="GZ72" s="83"/>
      <c r="HA72" s="83"/>
      <c r="HB72" s="83"/>
      <c r="HC72" s="83"/>
      <c r="HD72" s="83"/>
      <c r="HE72" s="83"/>
      <c r="HF72" s="83"/>
      <c r="HG72" s="83"/>
      <c r="HH72" s="83"/>
      <c r="HI72" s="83"/>
      <c r="HJ72" s="83"/>
      <c r="HK72" s="83"/>
      <c r="HL72" s="83"/>
      <c r="HM72" s="83"/>
      <c r="HN72" s="83"/>
      <c r="HO72" s="83"/>
      <c r="HP72" s="83"/>
      <c r="HQ72" s="83"/>
      <c r="HR72" s="83"/>
      <c r="HS72" s="83"/>
      <c r="HT72" s="83"/>
      <c r="HU72" s="83"/>
      <c r="HV72" s="83"/>
      <c r="HW72" s="83"/>
      <c r="HX72" s="83"/>
      <c r="HY72" s="83"/>
      <c r="HZ72" s="83"/>
      <c r="IA72" s="83"/>
      <c r="IB72" s="83"/>
      <c r="IC72" s="83"/>
      <c r="ID72" s="83"/>
      <c r="IE72" s="83"/>
      <c r="IF72" s="83"/>
      <c r="IG72" s="83"/>
      <c r="IH72" s="83"/>
      <c r="II72" s="83"/>
      <c r="IJ72" s="83"/>
    </row>
    <row r="73" spans="1:1033" s="86" customFormat="1" ht="12.95" customHeight="1" x14ac:dyDescent="0.2">
      <c r="A73" s="82" t="s">
        <v>523</v>
      </c>
      <c r="B73" s="72">
        <v>2</v>
      </c>
      <c r="C73" s="93">
        <f t="shared" si="114"/>
        <v>98.969970925006265</v>
      </c>
      <c r="D73" s="93">
        <f t="shared" si="115"/>
        <v>93.313431383044659</v>
      </c>
      <c r="E73" s="92">
        <f>VLOOKUP(A73,[3]TRTOTAL!$A$7:$D$313,3,FALSE)</f>
        <v>100.55350713844318</v>
      </c>
      <c r="F73" s="92">
        <f>VLOOKUP(A73,[3]TRTOTAL!$A$7:$D$313,4,FALSE)</f>
        <v>94.806462010557723</v>
      </c>
      <c r="G73" s="92">
        <f t="shared" si="112"/>
        <v>-1.5835362134369149</v>
      </c>
      <c r="H73" s="92">
        <f t="shared" si="113"/>
        <v>-1.4930306275130647</v>
      </c>
      <c r="I73" s="72">
        <v>5.5</v>
      </c>
      <c r="J73" s="56">
        <v>5.5</v>
      </c>
      <c r="K73" s="54">
        <v>2.5499999999999998</v>
      </c>
      <c r="L73" s="75">
        <v>2</v>
      </c>
      <c r="M73" s="75"/>
      <c r="N73" s="75">
        <v>170</v>
      </c>
      <c r="O73" s="85" t="s">
        <v>595</v>
      </c>
      <c r="P73" s="76">
        <f t="shared" si="87"/>
        <v>17</v>
      </c>
      <c r="Q73" s="24">
        <f t="shared" si="86"/>
        <v>8.6</v>
      </c>
      <c r="R73" s="76">
        <f t="shared" si="116"/>
        <v>4.4382533333333338</v>
      </c>
      <c r="S73" s="87">
        <v>9</v>
      </c>
      <c r="T73" s="77">
        <f t="shared" si="88"/>
        <v>5.2827999999999999</v>
      </c>
      <c r="U73" s="77">
        <v>2.1800000000000002</v>
      </c>
      <c r="V73" s="76">
        <f t="shared" si="117"/>
        <v>2.1800000000000002</v>
      </c>
      <c r="W73" s="76">
        <f t="shared" si="118"/>
        <v>2.3400000000000003</v>
      </c>
      <c r="X73" s="76">
        <f t="shared" si="89"/>
        <v>3.104682591862078</v>
      </c>
      <c r="Y73" s="25">
        <f t="shared" si="128"/>
        <v>1</v>
      </c>
      <c r="Z73" s="76">
        <f t="shared" si="119"/>
        <v>16.000328016392825</v>
      </c>
      <c r="AA73" s="77">
        <f t="shared" si="90"/>
        <v>1.847347901491502</v>
      </c>
      <c r="AB73" s="76">
        <f t="shared" si="120"/>
        <v>3.8415738976884644</v>
      </c>
      <c r="AC73" s="76">
        <f>rsam+rsag+IF(rsascr,rsascr-0.13*rsag,rsas-0.13*rsag)</f>
        <v>23.343207134421451</v>
      </c>
      <c r="AD73" s="79">
        <f t="shared" si="92"/>
        <v>314</v>
      </c>
      <c r="AE73" s="79">
        <f t="shared" si="93"/>
        <v>320</v>
      </c>
      <c r="AF73" s="21">
        <f t="shared" si="94"/>
        <v>2.7988799999999996</v>
      </c>
      <c r="AG73" s="77">
        <f t="shared" si="95"/>
        <v>4.0007098270396622</v>
      </c>
      <c r="AH73" s="114">
        <f t="shared" si="129"/>
        <v>0.95</v>
      </c>
      <c r="AI73" s="80">
        <f t="shared" si="96"/>
        <v>97.137243313702228</v>
      </c>
      <c r="AJ73" s="80">
        <f t="shared" si="97"/>
        <v>91.585451667552803</v>
      </c>
      <c r="AK73" s="73"/>
      <c r="AL73" s="73"/>
      <c r="AM73" s="77"/>
      <c r="AN73" s="72">
        <v>8.6</v>
      </c>
      <c r="AO73" s="73"/>
      <c r="AP73" s="77"/>
      <c r="AQ73" s="73"/>
      <c r="AR73" s="73"/>
      <c r="AS73" s="77"/>
      <c r="AT73" s="72"/>
      <c r="AU73" s="72"/>
      <c r="AV73" s="77"/>
      <c r="AW73" s="72"/>
      <c r="AX73" s="72"/>
      <c r="AY73" s="77"/>
      <c r="AZ73" s="72"/>
      <c r="BA73" s="72"/>
      <c r="BB73" s="77"/>
      <c r="BC73" s="72"/>
      <c r="BD73" s="72"/>
      <c r="BE73" s="77"/>
      <c r="BF73" s="73"/>
      <c r="BG73" s="73"/>
      <c r="BH73" s="77"/>
      <c r="BI73" s="73"/>
      <c r="BJ73" s="73"/>
      <c r="BK73" s="77"/>
      <c r="BL73" s="73"/>
      <c r="BM73" s="73"/>
      <c r="BN73" s="77"/>
      <c r="BO73" s="73"/>
      <c r="BP73" s="73"/>
      <c r="BQ73" s="77"/>
      <c r="BR73" s="73"/>
      <c r="BS73" s="77"/>
      <c r="BT73" s="74">
        <v>5.62</v>
      </c>
      <c r="BU73" s="74">
        <v>1.55</v>
      </c>
      <c r="BV73" s="78">
        <f t="shared" si="82"/>
        <v>4.3555000000000001</v>
      </c>
      <c r="BW73" s="77">
        <f t="shared" si="121"/>
        <v>5.12</v>
      </c>
      <c r="BX73" s="73">
        <v>1.4E-2</v>
      </c>
      <c r="BY73" s="77">
        <f t="shared" si="83"/>
        <v>4.7786666666666672E-2</v>
      </c>
      <c r="BZ73" s="73">
        <v>4.2300000000000004</v>
      </c>
      <c r="CA73" s="73">
        <v>1.4999999999999999E-2</v>
      </c>
      <c r="CB73" s="78">
        <f t="shared" si="84"/>
        <v>4.2300000000000004E-2</v>
      </c>
      <c r="CC73" s="72">
        <v>1.6</v>
      </c>
      <c r="CD73" s="72">
        <v>0.04</v>
      </c>
      <c r="CE73" s="78">
        <f t="shared" si="85"/>
        <v>4.2666666666666665E-2</v>
      </c>
      <c r="CF73" s="77">
        <v>0.5</v>
      </c>
      <c r="CG73" s="77">
        <v>-0.2</v>
      </c>
      <c r="CH73" s="21">
        <f t="shared" si="122"/>
        <v>-0.05</v>
      </c>
      <c r="CI73" s="25">
        <f t="shared" si="123"/>
        <v>4.4382533333333338</v>
      </c>
      <c r="CJ73" s="72"/>
      <c r="CK73" s="21">
        <f t="shared" si="107"/>
        <v>0</v>
      </c>
      <c r="CL73" s="73"/>
      <c r="CM73" s="73"/>
      <c r="CN73" s="81">
        <v>42913</v>
      </c>
      <c r="CO73" s="73" t="s">
        <v>524</v>
      </c>
      <c r="CP73" s="73"/>
      <c r="CQ73" s="73"/>
      <c r="CR73" s="73"/>
      <c r="CS73" s="73"/>
      <c r="CT73" s="73"/>
      <c r="CU73" s="73"/>
      <c r="CV73" s="73"/>
      <c r="CW73" s="73"/>
      <c r="CX73" s="73"/>
      <c r="CY73" s="77">
        <f t="shared" si="124"/>
        <v>0</v>
      </c>
      <c r="CZ73" s="74">
        <v>4</v>
      </c>
      <c r="DA73" s="74">
        <v>8.7100000000000009</v>
      </c>
      <c r="DB73" s="74">
        <v>7.95</v>
      </c>
      <c r="DC73" s="74">
        <v>2.36</v>
      </c>
      <c r="DD73" s="61">
        <f t="shared" si="125"/>
        <v>0.59</v>
      </c>
      <c r="DE73" s="21">
        <f t="shared" si="126"/>
        <v>18.659199999999998</v>
      </c>
      <c r="DF73" s="73">
        <v>17</v>
      </c>
      <c r="DG73" s="73">
        <v>0</v>
      </c>
      <c r="DH73" s="73"/>
      <c r="DI73" s="73"/>
      <c r="DJ73" s="105"/>
      <c r="DK73" s="82" t="s">
        <v>525</v>
      </c>
      <c r="DL73" s="83"/>
      <c r="DM73" s="58">
        <f t="shared" si="108"/>
        <v>878.95513161405495</v>
      </c>
      <c r="DN73" s="79">
        <f t="shared" si="109"/>
        <v>741.6</v>
      </c>
      <c r="DO73" s="77">
        <f t="shared" si="110"/>
        <v>0.84372907481429105</v>
      </c>
      <c r="DP73" s="84">
        <f t="shared" si="127"/>
        <v>1.0188674039820678</v>
      </c>
      <c r="DQ73" s="85" t="s">
        <v>130</v>
      </c>
      <c r="DR73" s="107">
        <f t="shared" si="111"/>
        <v>0</v>
      </c>
      <c r="DS73" s="83"/>
      <c r="DT73" s="83"/>
      <c r="DU73" s="83"/>
      <c r="DV73" s="83"/>
      <c r="DW73" s="83"/>
      <c r="DX73" s="83"/>
      <c r="DY73" s="83"/>
      <c r="DZ73" s="83"/>
      <c r="EA73" s="83"/>
      <c r="EB73" s="83"/>
      <c r="EC73" s="83"/>
      <c r="ED73" s="83"/>
      <c r="EE73" s="83"/>
      <c r="EF73" s="83"/>
      <c r="EG73" s="83"/>
      <c r="EH73" s="83"/>
      <c r="EI73" s="83"/>
      <c r="EJ73" s="83"/>
      <c r="EK73" s="83"/>
      <c r="EL73" s="83"/>
      <c r="EM73" s="83"/>
      <c r="EN73" s="83"/>
      <c r="EO73" s="83"/>
      <c r="EP73" s="83"/>
      <c r="EQ73" s="83"/>
      <c r="ER73" s="83"/>
      <c r="ES73" s="83"/>
      <c r="ET73" s="83"/>
      <c r="EU73" s="83"/>
      <c r="EV73" s="83"/>
      <c r="EW73" s="83"/>
      <c r="EX73" s="83"/>
      <c r="EY73" s="83"/>
      <c r="EZ73" s="83"/>
      <c r="FA73" s="83"/>
      <c r="FB73" s="83"/>
      <c r="FC73" s="83"/>
      <c r="FD73" s="83"/>
      <c r="FE73" s="83"/>
      <c r="FF73" s="83"/>
      <c r="FG73" s="83"/>
      <c r="FH73" s="83"/>
      <c r="FI73" s="83"/>
      <c r="FJ73" s="83"/>
      <c r="FK73" s="83"/>
      <c r="FL73" s="83"/>
      <c r="FM73" s="83"/>
      <c r="FN73" s="83"/>
      <c r="FO73" s="83"/>
      <c r="FP73" s="83"/>
      <c r="FQ73" s="83"/>
      <c r="FR73" s="83"/>
      <c r="FS73" s="83"/>
      <c r="FT73" s="83"/>
      <c r="FU73" s="83"/>
      <c r="FV73" s="83"/>
      <c r="FW73" s="83"/>
      <c r="FX73" s="83"/>
      <c r="FY73" s="83"/>
      <c r="FZ73" s="83"/>
      <c r="GA73" s="83"/>
      <c r="GB73" s="83"/>
      <c r="GC73" s="83"/>
      <c r="GD73" s="83"/>
      <c r="GE73" s="83"/>
      <c r="GF73" s="83"/>
      <c r="GG73" s="83"/>
      <c r="GH73" s="83"/>
      <c r="GI73" s="83"/>
      <c r="GJ73" s="83"/>
      <c r="GK73" s="83"/>
      <c r="GL73" s="83"/>
      <c r="GM73" s="83"/>
      <c r="GN73" s="83"/>
      <c r="GO73" s="83"/>
      <c r="GP73" s="83"/>
      <c r="GQ73" s="83"/>
      <c r="GR73" s="83"/>
      <c r="GS73" s="83"/>
      <c r="GT73" s="83"/>
      <c r="GU73" s="83"/>
      <c r="GV73" s="83"/>
      <c r="GW73" s="83"/>
      <c r="GX73" s="83"/>
      <c r="GY73" s="83"/>
      <c r="GZ73" s="83"/>
      <c r="HA73" s="83"/>
      <c r="HB73" s="83"/>
      <c r="HC73" s="83"/>
      <c r="HD73" s="83"/>
      <c r="HE73" s="83"/>
      <c r="HF73" s="83"/>
      <c r="HG73" s="83"/>
      <c r="HH73" s="83"/>
      <c r="HI73" s="83"/>
      <c r="HJ73" s="83"/>
      <c r="HK73" s="83"/>
      <c r="HL73" s="83"/>
      <c r="HM73" s="83"/>
      <c r="HN73" s="83"/>
      <c r="HO73" s="83"/>
      <c r="HP73" s="83"/>
      <c r="HQ73" s="83"/>
      <c r="HR73" s="83"/>
      <c r="HS73" s="83"/>
      <c r="HT73" s="83"/>
      <c r="HU73" s="83"/>
      <c r="HV73" s="83"/>
      <c r="HW73" s="83"/>
      <c r="HX73" s="83"/>
      <c r="HY73" s="83"/>
      <c r="HZ73" s="83"/>
      <c r="IA73" s="83"/>
      <c r="IB73" s="83"/>
      <c r="IC73" s="83"/>
      <c r="ID73" s="83"/>
      <c r="IE73" s="83"/>
      <c r="IF73" s="83"/>
      <c r="IG73" s="83"/>
      <c r="IH73" s="83"/>
      <c r="II73" s="83"/>
      <c r="IJ73" s="83"/>
    </row>
    <row r="74" spans="1:1033" ht="12.95" customHeight="1" x14ac:dyDescent="0.2">
      <c r="A74" s="82" t="s">
        <v>530</v>
      </c>
      <c r="B74" s="72">
        <v>2</v>
      </c>
      <c r="C74" s="93">
        <f t="shared" si="114"/>
        <v>98.132026407494862</v>
      </c>
      <c r="D74" s="93">
        <f t="shared" si="115"/>
        <v>92.505973752644891</v>
      </c>
      <c r="E74" s="92">
        <f>VLOOKUP(A74,[3]TRTOTAL!$A$7:$D$313,3,FALSE)</f>
        <v>99.702155367439346</v>
      </c>
      <c r="F74" s="92">
        <f>VLOOKUP(A74,[3]TRTOTAL!$A$7:$D$313,4,FALSE)</f>
        <v>93.986084921997033</v>
      </c>
      <c r="G74" s="92">
        <f t="shared" si="112"/>
        <v>-1.5701289599444834</v>
      </c>
      <c r="H74" s="92">
        <f t="shared" si="113"/>
        <v>-1.480111169352142</v>
      </c>
      <c r="I74" s="72">
        <v>5.5</v>
      </c>
      <c r="J74" s="56">
        <v>5.5</v>
      </c>
      <c r="K74" s="54">
        <v>3.54</v>
      </c>
      <c r="L74" s="75">
        <v>2</v>
      </c>
      <c r="M74" s="75"/>
      <c r="N74" s="75">
        <v>180</v>
      </c>
      <c r="O74" s="85" t="s">
        <v>595</v>
      </c>
      <c r="P74" s="76">
        <f t="shared" si="87"/>
        <v>17</v>
      </c>
      <c r="Q74" s="24">
        <f t="shared" si="86"/>
        <v>8.6</v>
      </c>
      <c r="R74" s="76">
        <f t="shared" si="116"/>
        <v>4.4382533333333338</v>
      </c>
      <c r="S74" s="87">
        <v>9</v>
      </c>
      <c r="T74" s="77">
        <f t="shared" si="88"/>
        <v>5.2827999999999999</v>
      </c>
      <c r="U74" s="77">
        <v>2.1800000000000002</v>
      </c>
      <c r="V74" s="76">
        <f t="shared" si="117"/>
        <v>2.1800000000000002</v>
      </c>
      <c r="W74" s="76">
        <f t="shared" si="118"/>
        <v>2.3400000000000003</v>
      </c>
      <c r="X74" s="76">
        <f t="shared" si="89"/>
        <v>3.104682591862078</v>
      </c>
      <c r="Y74" s="25">
        <f t="shared" si="128"/>
        <v>1</v>
      </c>
      <c r="Z74" s="76">
        <f t="shared" si="119"/>
        <v>16.000328016392825</v>
      </c>
      <c r="AA74" s="77">
        <f t="shared" si="90"/>
        <v>1.847347901491502</v>
      </c>
      <c r="AB74" s="76">
        <f t="shared" si="120"/>
        <v>3.8415738976884644</v>
      </c>
      <c r="AC74" s="76">
        <f>rsam+rsag+IF(rsascr,rsascr-0.13*rsag,rsas-0.13*rsag)</f>
        <v>23.343207134421451</v>
      </c>
      <c r="AD74" s="79">
        <f t="shared" si="92"/>
        <v>324</v>
      </c>
      <c r="AE74" s="79">
        <f t="shared" si="93"/>
        <v>330</v>
      </c>
      <c r="AF74" s="21">
        <f t="shared" si="94"/>
        <v>2.7988799999999996</v>
      </c>
      <c r="AG74" s="77">
        <f t="shared" si="95"/>
        <v>4.0007098270396622</v>
      </c>
      <c r="AH74" s="114">
        <f t="shared" si="129"/>
        <v>0.95</v>
      </c>
      <c r="AI74" s="80">
        <f t="shared" si="96"/>
        <v>98.132026407494862</v>
      </c>
      <c r="AJ74" s="80">
        <f t="shared" si="97"/>
        <v>92.505973752644891</v>
      </c>
      <c r="AK74" s="73"/>
      <c r="AL74" s="73"/>
      <c r="AM74" s="77"/>
      <c r="AN74" s="72">
        <v>8.6</v>
      </c>
      <c r="AO74" s="73"/>
      <c r="AP74" s="77"/>
      <c r="AQ74" s="73"/>
      <c r="AR74" s="73"/>
      <c r="AS74" s="77"/>
      <c r="AT74" s="72"/>
      <c r="AU74" s="72"/>
      <c r="AV74" s="77"/>
      <c r="AW74" s="72"/>
      <c r="AX74" s="72"/>
      <c r="AY74" s="77"/>
      <c r="AZ74" s="72"/>
      <c r="BA74" s="72"/>
      <c r="BB74" s="77"/>
      <c r="BC74" s="72"/>
      <c r="BD74" s="72"/>
      <c r="BE74" s="77"/>
      <c r="BF74" s="73"/>
      <c r="BG74" s="73"/>
      <c r="BH74" s="77"/>
      <c r="BI74" s="73"/>
      <c r="BJ74" s="73"/>
      <c r="BK74" s="77"/>
      <c r="BL74" s="73"/>
      <c r="BM74" s="73"/>
      <c r="BN74" s="77"/>
      <c r="BO74" s="73"/>
      <c r="BP74" s="73"/>
      <c r="BQ74" s="77"/>
      <c r="BR74" s="73"/>
      <c r="BS74" s="77"/>
      <c r="BT74" s="74">
        <v>5.62</v>
      </c>
      <c r="BU74" s="74">
        <v>1.55</v>
      </c>
      <c r="BV74" s="78">
        <f t="shared" si="82"/>
        <v>4.3555000000000001</v>
      </c>
      <c r="BW74" s="77">
        <f t="shared" si="121"/>
        <v>5.12</v>
      </c>
      <c r="BX74" s="73">
        <v>1.4E-2</v>
      </c>
      <c r="BY74" s="77">
        <f t="shared" si="83"/>
        <v>4.7786666666666672E-2</v>
      </c>
      <c r="BZ74" s="73">
        <v>4.2300000000000004</v>
      </c>
      <c r="CA74" s="73">
        <v>1.4999999999999999E-2</v>
      </c>
      <c r="CB74" s="78">
        <f t="shared" si="84"/>
        <v>4.2300000000000004E-2</v>
      </c>
      <c r="CC74" s="72">
        <v>1.6</v>
      </c>
      <c r="CD74" s="72">
        <v>0.04</v>
      </c>
      <c r="CE74" s="78">
        <f t="shared" si="85"/>
        <v>4.2666666666666665E-2</v>
      </c>
      <c r="CF74" s="77">
        <v>0.5</v>
      </c>
      <c r="CG74" s="77">
        <v>-0.2</v>
      </c>
      <c r="CH74" s="21">
        <f t="shared" si="122"/>
        <v>-0.05</v>
      </c>
      <c r="CI74" s="25">
        <f t="shared" si="123"/>
        <v>4.4382533333333338</v>
      </c>
      <c r="CJ74" s="72"/>
      <c r="CK74" s="21">
        <f t="shared" si="107"/>
        <v>0</v>
      </c>
      <c r="CL74" s="73"/>
      <c r="CM74" s="73"/>
      <c r="CN74" s="81">
        <v>42913</v>
      </c>
      <c r="CO74" s="73" t="s">
        <v>524</v>
      </c>
      <c r="CP74" s="73"/>
      <c r="CQ74" s="73"/>
      <c r="CR74" s="73"/>
      <c r="CS74" s="73"/>
      <c r="CT74" s="73"/>
      <c r="CU74" s="73"/>
      <c r="CV74" s="73"/>
      <c r="CW74" s="73"/>
      <c r="CX74" s="73"/>
      <c r="CY74" s="77">
        <f t="shared" si="124"/>
        <v>0</v>
      </c>
      <c r="CZ74" s="74">
        <v>4</v>
      </c>
      <c r="DA74" s="74">
        <v>8.7100000000000009</v>
      </c>
      <c r="DB74" s="74">
        <v>7.95</v>
      </c>
      <c r="DC74" s="74">
        <v>2.36</v>
      </c>
      <c r="DD74" s="61">
        <f t="shared" si="125"/>
        <v>0.59</v>
      </c>
      <c r="DE74" s="21">
        <f t="shared" si="126"/>
        <v>18.659199999999998</v>
      </c>
      <c r="DF74" s="73">
        <v>17</v>
      </c>
      <c r="DG74" s="73">
        <v>0</v>
      </c>
      <c r="DH74" s="73"/>
      <c r="DI74" s="73"/>
      <c r="DJ74" s="105"/>
      <c r="DK74" s="82" t="s">
        <v>525</v>
      </c>
      <c r="DL74" s="83"/>
      <c r="DM74" s="58">
        <f t="shared" si="108"/>
        <v>878.95513161405495</v>
      </c>
      <c r="DN74" s="79">
        <f t="shared" si="109"/>
        <v>988.98</v>
      </c>
      <c r="DO74" s="77">
        <f t="shared" si="110"/>
        <v>1.12517688836278</v>
      </c>
      <c r="DP74" s="84">
        <f t="shared" si="127"/>
        <v>1</v>
      </c>
      <c r="DQ74" s="85" t="s">
        <v>130</v>
      </c>
      <c r="DR74" s="107">
        <f t="shared" si="111"/>
        <v>0</v>
      </c>
    </row>
    <row r="75" spans="1:1033" ht="12.75" customHeight="1" x14ac:dyDescent="0.2">
      <c r="A75" s="82" t="s">
        <v>497</v>
      </c>
      <c r="B75" s="72">
        <v>2</v>
      </c>
      <c r="C75" s="93">
        <f t="shared" si="114"/>
        <v>102.76234025848798</v>
      </c>
      <c r="D75" s="93">
        <f t="shared" si="115"/>
        <v>93.379769501232715</v>
      </c>
      <c r="E75" s="92">
        <f>VLOOKUP(A75,[3]TRTOTAL!$A$7:$D$313,3,FALSE)</f>
        <v>102.76234025848798</v>
      </c>
      <c r="F75" s="92">
        <f>VLOOKUP(A75,[3]TRTOTAL!$A$7:$D$313,4,FALSE)</f>
        <v>93.379769501232715</v>
      </c>
      <c r="G75" s="92">
        <f t="shared" si="112"/>
        <v>0</v>
      </c>
      <c r="H75" s="92">
        <f t="shared" si="113"/>
        <v>0</v>
      </c>
      <c r="I75" s="72">
        <v>5.5</v>
      </c>
      <c r="J75" s="56">
        <v>5.5</v>
      </c>
      <c r="K75" s="54">
        <v>3</v>
      </c>
      <c r="L75" s="75">
        <v>2</v>
      </c>
      <c r="M75" s="75"/>
      <c r="N75" s="75">
        <v>157</v>
      </c>
      <c r="O75" s="85" t="s">
        <v>595</v>
      </c>
      <c r="P75" s="76">
        <f t="shared" si="87"/>
        <v>17.854334999999999</v>
      </c>
      <c r="Q75" s="76">
        <f t="shared" si="86"/>
        <v>9.1999999999999993</v>
      </c>
      <c r="R75" s="76">
        <f t="shared" si="116"/>
        <v>0</v>
      </c>
      <c r="S75" s="88">
        <v>9.6</v>
      </c>
      <c r="T75" s="77">
        <f t="shared" si="88"/>
        <v>0</v>
      </c>
      <c r="U75" s="77"/>
      <c r="V75" s="76">
        <f t="shared" si="117"/>
        <v>2.2050000000000001</v>
      </c>
      <c r="W75" s="76">
        <f t="shared" si="118"/>
        <v>2.4125000000000001</v>
      </c>
      <c r="X75" s="76">
        <f t="shared" si="89"/>
        <v>3.0676727965851431</v>
      </c>
      <c r="Y75" s="25">
        <f t="shared" si="128"/>
        <v>1</v>
      </c>
      <c r="Z75" s="76">
        <f t="shared" si="119"/>
        <v>16.744076225041741</v>
      </c>
      <c r="AA75" s="77">
        <f t="shared" si="90"/>
        <v>0</v>
      </c>
      <c r="AB75" s="76">
        <f t="shared" si="120"/>
        <v>0</v>
      </c>
      <c r="AC75" s="76">
        <f>rsam+rsag+IF(rsascr,rsascr-0.13*rsag,rsas-0.13*rsag)</f>
        <v>21.616173431288249</v>
      </c>
      <c r="AD75" s="79">
        <f t="shared" si="92"/>
        <v>301</v>
      </c>
      <c r="AE75" s="79">
        <f t="shared" si="93"/>
        <v>307</v>
      </c>
      <c r="AF75" s="21">
        <f t="shared" si="94"/>
        <v>3.4599199999999999</v>
      </c>
      <c r="AG75" s="77">
        <f t="shared" si="95"/>
        <v>4.8720972062465089</v>
      </c>
      <c r="AH75" s="114">
        <f t="shared" si="129"/>
        <v>0.95</v>
      </c>
      <c r="AI75" s="80">
        <f t="shared" si="96"/>
        <v>102.54313533523045</v>
      </c>
      <c r="AJ75" s="80">
        <f t="shared" si="97"/>
        <v>93.18057877478725</v>
      </c>
      <c r="AK75" s="73">
        <v>9.1999999999999993</v>
      </c>
      <c r="AL75" s="73">
        <v>2.2050000000000001</v>
      </c>
      <c r="AM75" s="77">
        <f t="shared" ref="AM75:AM123" si="130">AK75*AL75*0.5</f>
        <v>10.142999999999999</v>
      </c>
      <c r="AN75" s="72">
        <v>9.1999999999999993</v>
      </c>
      <c r="AO75" s="73">
        <v>0.09</v>
      </c>
      <c r="AP75" s="77">
        <f t="shared" ref="AP75:AP123" si="131">AN75*AO75*2/3</f>
        <v>0.55199999999999994</v>
      </c>
      <c r="AQ75" s="73">
        <v>2.2320000000000002</v>
      </c>
      <c r="AR75" s="73">
        <v>4.4999999999999998E-2</v>
      </c>
      <c r="AS75" s="77">
        <f t="shared" ref="AS75:AS123" si="132">AQ75*AR75*2/3</f>
        <v>6.6960000000000006E-2</v>
      </c>
      <c r="AT75" s="72">
        <v>9.0500000000000007</v>
      </c>
      <c r="AU75" s="72">
        <v>0.995</v>
      </c>
      <c r="AV75" s="77">
        <f t="shared" ref="AV75:AV106" si="133">AT75*AU75*0.5</f>
        <v>4.5023750000000007</v>
      </c>
      <c r="AW75" s="72">
        <v>0</v>
      </c>
      <c r="AX75" s="72">
        <v>0</v>
      </c>
      <c r="AY75" s="77">
        <f t="shared" ref="AY75:AY123" si="134">AW75*AX75*0.5</f>
        <v>0</v>
      </c>
      <c r="AZ75" s="72">
        <v>0</v>
      </c>
      <c r="BA75" s="72">
        <v>0</v>
      </c>
      <c r="BB75" s="77">
        <f t="shared" ref="BB75:BB123" si="135">AZ75*BA75*2/3</f>
        <v>0</v>
      </c>
      <c r="BC75" s="72">
        <v>0</v>
      </c>
      <c r="BD75" s="72">
        <v>0</v>
      </c>
      <c r="BE75" s="77">
        <f t="shared" ref="BE75:BE123" si="136">BC75*BD75*2/3</f>
        <v>0</v>
      </c>
      <c r="BF75" s="73">
        <v>0</v>
      </c>
      <c r="BG75" s="73">
        <v>0</v>
      </c>
      <c r="BH75" s="77">
        <f t="shared" ref="BH75:BH123" si="137">BF75*BG75*0.5</f>
        <v>0</v>
      </c>
      <c r="BI75" s="73">
        <v>8.9700000000000006</v>
      </c>
      <c r="BJ75" s="73">
        <v>0.1</v>
      </c>
      <c r="BK75" s="77">
        <f t="shared" ref="BK75:BK123" si="138">BI75*BJ75*2/3</f>
        <v>0.59800000000000009</v>
      </c>
      <c r="BL75" s="73"/>
      <c r="BM75" s="73"/>
      <c r="BN75" s="77">
        <f t="shared" ref="BN75:BN123" si="139">BL75*BM75*0.5</f>
        <v>0</v>
      </c>
      <c r="BO75" s="73"/>
      <c r="BP75" s="73"/>
      <c r="BQ75" s="77">
        <f t="shared" ref="BQ75:BQ123" si="140">BO75*BP75*0.5</f>
        <v>0</v>
      </c>
      <c r="BR75" s="73"/>
      <c r="BS75" s="77">
        <f t="shared" ref="BS75:BS123" si="141">AM75+AP75+AS75+AV75+AY75+BB75+BE75+BH75+BK75+BN75+BQ75</f>
        <v>15.862335</v>
      </c>
      <c r="BT75" s="74"/>
      <c r="BU75" s="74">
        <v>1.548</v>
      </c>
      <c r="BV75" s="77">
        <f t="shared" si="82"/>
        <v>0</v>
      </c>
      <c r="BW75" s="77">
        <f t="shared" si="121"/>
        <v>0</v>
      </c>
      <c r="BX75" s="73">
        <v>0</v>
      </c>
      <c r="BY75" s="77">
        <f t="shared" si="83"/>
        <v>0</v>
      </c>
      <c r="BZ75" s="73"/>
      <c r="CA75" s="73">
        <v>0</v>
      </c>
      <c r="CB75" s="77">
        <f t="shared" si="84"/>
        <v>0</v>
      </c>
      <c r="CC75" s="72"/>
      <c r="CD75" s="72"/>
      <c r="CE75" s="77">
        <f t="shared" si="85"/>
        <v>0</v>
      </c>
      <c r="CF75" s="77"/>
      <c r="CG75" s="77"/>
      <c r="CH75" s="21">
        <f t="shared" si="122"/>
        <v>0</v>
      </c>
      <c r="CI75" s="25">
        <f t="shared" si="123"/>
        <v>0</v>
      </c>
      <c r="CJ75" s="72">
        <v>0.41499999999999998</v>
      </c>
      <c r="CK75" s="21">
        <f t="shared" si="107"/>
        <v>1.9919999999999998</v>
      </c>
      <c r="CL75" s="73" t="s">
        <v>494</v>
      </c>
      <c r="CM75" s="73" t="s">
        <v>495</v>
      </c>
      <c r="CN75" s="81">
        <v>42655</v>
      </c>
      <c r="CO75" s="73" t="s">
        <v>148</v>
      </c>
      <c r="CP75" s="73">
        <v>111</v>
      </c>
      <c r="CQ75" s="73">
        <v>222</v>
      </c>
      <c r="CR75" s="73">
        <v>333</v>
      </c>
      <c r="CS75" s="73">
        <v>444</v>
      </c>
      <c r="CT75" s="73"/>
      <c r="CU75" s="73"/>
      <c r="CV75" s="73"/>
      <c r="CW75" s="73"/>
      <c r="CX75" s="73"/>
      <c r="CY75" s="77">
        <f t="shared" si="124"/>
        <v>0</v>
      </c>
      <c r="CZ75" s="74">
        <v>4.18</v>
      </c>
      <c r="DA75" s="74">
        <v>10.24</v>
      </c>
      <c r="DB75" s="74">
        <v>9.2799999999999994</v>
      </c>
      <c r="DC75" s="74">
        <v>2.5</v>
      </c>
      <c r="DD75" s="61">
        <f t="shared" si="125"/>
        <v>0.59808612440191389</v>
      </c>
      <c r="DE75" s="21">
        <f t="shared" si="126"/>
        <v>23.066133333333333</v>
      </c>
      <c r="DF75" s="73">
        <v>0</v>
      </c>
      <c r="DG75" s="73">
        <v>0</v>
      </c>
      <c r="DH75" s="73"/>
      <c r="DI75" s="73"/>
      <c r="DJ75" s="105"/>
      <c r="DK75" s="82"/>
      <c r="DL75" s="83"/>
      <c r="DM75" s="58">
        <f t="shared" si="108"/>
        <v>842.70139279441889</v>
      </c>
      <c r="DN75" s="79">
        <f t="shared" si="109"/>
        <v>826.5</v>
      </c>
      <c r="DO75" s="77">
        <f t="shared" si="110"/>
        <v>0.98077445589511292</v>
      </c>
      <c r="DP75" s="84">
        <f t="shared" si="127"/>
        <v>1.0021376850097368</v>
      </c>
      <c r="DQ75" s="85" t="s">
        <v>130</v>
      </c>
      <c r="DR75" s="107">
        <f t="shared" si="111"/>
        <v>0</v>
      </c>
    </row>
    <row r="76" spans="1:1033" ht="12.75" customHeight="1" x14ac:dyDescent="0.2">
      <c r="A76" s="53" t="s">
        <v>570</v>
      </c>
      <c r="B76" s="54">
        <v>2</v>
      </c>
      <c r="C76" s="92">
        <f t="shared" si="114"/>
        <v>106.79148956323066</v>
      </c>
      <c r="D76" s="92">
        <f t="shared" si="115"/>
        <v>102.57000160748831</v>
      </c>
      <c r="E76" s="92">
        <f>VLOOKUP(A76,[3]TRTOTAL!$A$7:$D$313,3,FALSE)</f>
        <v>107.47590747441842</v>
      </c>
      <c r="F76" s="92">
        <f>VLOOKUP(A76,[3]TRTOTAL!$A$7:$D$313,4,FALSE)</f>
        <v>103.11804998221032</v>
      </c>
      <c r="G76" s="92"/>
      <c r="H76" s="92"/>
      <c r="I76" s="54">
        <v>5</v>
      </c>
      <c r="J76" s="56">
        <v>5</v>
      </c>
      <c r="K76" s="54">
        <v>2.5</v>
      </c>
      <c r="L76" s="57">
        <v>2</v>
      </c>
      <c r="M76" s="57"/>
      <c r="N76" s="57">
        <v>123</v>
      </c>
      <c r="O76" s="87"/>
      <c r="P76" s="24">
        <f t="shared" si="87"/>
        <v>15</v>
      </c>
      <c r="Q76" s="24">
        <f>voorvlm1+voorllm2</f>
        <v>8.48</v>
      </c>
      <c r="R76" s="24">
        <f t="shared" si="116"/>
        <v>3.7</v>
      </c>
      <c r="S76" s="87">
        <v>8.5</v>
      </c>
      <c r="T76" s="21">
        <f>IF(gs_1,gs_1*0.94,VlgNoDetails)</f>
        <v>5.64</v>
      </c>
      <c r="U76" s="108"/>
      <c r="V76" s="24">
        <f t="shared" si="117"/>
        <v>2.06</v>
      </c>
      <c r="W76" s="24">
        <f>IF(circMast,circMast/2,0.16)+V76</f>
        <v>2.2200000000000002</v>
      </c>
      <c r="X76" s="24">
        <f>msam/e^2</f>
        <v>3.0435841246652053</v>
      </c>
      <c r="Y76" s="25">
        <f t="shared" si="128"/>
        <v>1</v>
      </c>
      <c r="Z76" s="24">
        <f>0.67*X76^0.3*msam*Y76</f>
        <v>14.034005900949326</v>
      </c>
      <c r="AA76" s="21">
        <f>IF(lpg,msag/lpg^2,0)</f>
        <v>0</v>
      </c>
      <c r="AB76" s="24">
        <f>IF(AA76,0.72*AA76^0.3*msag,IF(msag,0.9*msag,0))</f>
        <v>3.33</v>
      </c>
      <c r="AC76" s="24">
        <f>rsam+rsag+IF(rsascr,rsascr-jibred*rsag,rsas-jibred*rsag)</f>
        <v>19.556105900949326</v>
      </c>
      <c r="AD76" s="58">
        <f>IF(wsex,wsex,wsin-6)+crew*(IF(AND(crew=1,msam+msag&gt;=11),75,IF(loa&lt;=4,65,IF(loa&lt;=4.8,70,75))))</f>
        <v>267</v>
      </c>
      <c r="AE76" s="58">
        <f>IF(wsin,wsin,wsex+6)+crew*(IF(AND(crew=1,msam+msag&gt;=11),75,IF(loa&lt;=4,65,IF(loa&lt;=4.8,70,75))))</f>
        <v>273</v>
      </c>
      <c r="AF76" s="21">
        <f>IF(sas,((sas)*0.15),IF(loa&lt;=4.87,IF(crew=1,14*0.15,17*0.15),IF(loa&lt;=5.8,IF(crew=1,17*0.15,21*0.15),IF(loa&lt;=6.71,IF(crew=1,20*0.15,25*0.15),0))))</f>
        <v>2.625</v>
      </c>
      <c r="AG76" s="77">
        <f>IF(AND(ars&lt;0.75*(AND(ars&gt;0)),(sas/msam&gt;0.75)),(sas*(12/ars^1.1)*0.01),0)</f>
        <v>0</v>
      </c>
      <c r="AH76" s="114">
        <f t="shared" si="129"/>
        <v>1</v>
      </c>
      <c r="AI76" s="59">
        <f>100/(1.15*rl^0.3*(rsam+rsag)^0.4/rwex^0.325)*corcb</f>
        <v>105.28520531670198</v>
      </c>
      <c r="AJ76" s="59">
        <f>100/(1.15*rl^0.3*rsa^0.4/rwin^0.325)*corcb</f>
        <v>101.12326106458856</v>
      </c>
      <c r="AK76" s="55"/>
      <c r="AL76" s="55">
        <v>2.06</v>
      </c>
      <c r="AM76" s="21">
        <f>AK76*AL76*0.5</f>
        <v>0</v>
      </c>
      <c r="AN76" s="55">
        <v>8.48</v>
      </c>
      <c r="AO76" s="55"/>
      <c r="AP76" s="21">
        <f>AN76*AO76*2/3</f>
        <v>0</v>
      </c>
      <c r="AQ76" s="55"/>
      <c r="AR76" s="55">
        <v>0</v>
      </c>
      <c r="AS76" s="21">
        <f>AQ76*AR76*2/3</f>
        <v>0</v>
      </c>
      <c r="AT76" s="54"/>
      <c r="AU76" s="54"/>
      <c r="AV76" s="21">
        <f>AT76*AU76*0.5</f>
        <v>0</v>
      </c>
      <c r="AW76" s="54"/>
      <c r="AX76" s="54"/>
      <c r="AY76" s="21">
        <f>AW76*AX76*0.5</f>
        <v>0</v>
      </c>
      <c r="AZ76" s="54"/>
      <c r="BA76" s="54"/>
      <c r="BB76" s="21">
        <f>AZ76*BA76*2/3</f>
        <v>0</v>
      </c>
      <c r="BC76" s="54"/>
      <c r="BD76" s="54"/>
      <c r="BE76" s="21">
        <f>BC76*BD76*2/3</f>
        <v>0</v>
      </c>
      <c r="BF76" s="55"/>
      <c r="BG76" s="55"/>
      <c r="BH76" s="21">
        <f>BF76*BG76*0.5</f>
        <v>0</v>
      </c>
      <c r="BI76" s="55"/>
      <c r="BJ76" s="55"/>
      <c r="BK76" s="21">
        <f>BI76*BJ76*2/3</f>
        <v>0</v>
      </c>
      <c r="BL76" s="55"/>
      <c r="BM76" s="55"/>
      <c r="BN76" s="21">
        <f>BL76*BM76*0.5</f>
        <v>0</v>
      </c>
      <c r="BO76" s="55"/>
      <c r="BP76" s="55"/>
      <c r="BQ76" s="21">
        <f>BO76*BP76*0.5</f>
        <v>0</v>
      </c>
      <c r="BR76" s="55"/>
      <c r="BS76" s="21">
        <f>AM76+AP76+AS76+AV76+AY76+BB76+BE76+BH76+BK76+BN76+BQ76</f>
        <v>0</v>
      </c>
      <c r="BT76" s="56">
        <v>0</v>
      </c>
      <c r="BU76" s="56"/>
      <c r="BV76" s="21">
        <f>BT76*BU76*0.5</f>
        <v>0</v>
      </c>
      <c r="BW76" s="77">
        <f>BT76-CF76</f>
        <v>0</v>
      </c>
      <c r="BX76" s="55"/>
      <c r="BY76" s="21">
        <f>BW76*BX76*2/3</f>
        <v>0</v>
      </c>
      <c r="BZ76" s="55"/>
      <c r="CA76" s="55"/>
      <c r="CB76" s="21">
        <f>BZ76*CA76*2/3</f>
        <v>0</v>
      </c>
      <c r="CC76" s="54"/>
      <c r="CD76" s="54"/>
      <c r="CE76" s="21">
        <f>CC76*CD76*2/3</f>
        <v>0</v>
      </c>
      <c r="CF76" s="21"/>
      <c r="CG76" s="21"/>
      <c r="CH76" s="21">
        <f>CF76*CG76*0.5</f>
        <v>0</v>
      </c>
      <c r="CI76" s="25">
        <f>BV76+BY76+CB76+CE76+CH76+DG76</f>
        <v>3.7</v>
      </c>
      <c r="CJ76" s="54"/>
      <c r="CK76" s="21">
        <f>MastLength*circMast*0.5</f>
        <v>0</v>
      </c>
      <c r="CL76" s="55"/>
      <c r="CM76" s="55"/>
      <c r="CN76" s="60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21">
        <f>(CT76+4*CU76+2*CV76+4*CW76+CX76)*AN76/12</f>
        <v>0</v>
      </c>
      <c r="CZ76" s="56"/>
      <c r="DA76" s="56"/>
      <c r="DB76" s="56"/>
      <c r="DC76" s="56"/>
      <c r="DD76" s="61">
        <f>IF(CZ76,DC76/CZ76,smg_sf_no_details)</f>
        <v>0</v>
      </c>
      <c r="DE76" s="21">
        <f>IF(CZ76,CZ76*(DA76+DB76)/4+(DC76-CZ76/2)*(DA76+DB76)/3,sas_no_details)</f>
        <v>17.5</v>
      </c>
      <c r="DF76" s="55">
        <v>15</v>
      </c>
      <c r="DG76" s="55">
        <v>3.7</v>
      </c>
      <c r="DH76" s="55">
        <v>5.64</v>
      </c>
      <c r="DI76" s="55">
        <v>17.5</v>
      </c>
      <c r="DJ76" s="104"/>
      <c r="DK76" s="53" t="s">
        <v>129</v>
      </c>
      <c r="DM76" s="58">
        <f t="shared" si="108"/>
        <v>763.78092241919978</v>
      </c>
      <c r="DN76" s="58">
        <f>IF(wsex,0.5*wsex*width+(rwex-wsex)*width+trapeze*(rwex-wsex)/crew,0.5*(wsin-6)*width+(rwin-wsin)*width+trapeze*(rwin-wsin)/crew)</f>
        <v>671.25</v>
      </c>
      <c r="DO76" s="21">
        <f>righting/heeling</f>
        <v>0.8788514877720206</v>
      </c>
      <c r="DP76" s="62">
        <f t="shared" si="127"/>
        <v>1.014306703795635</v>
      </c>
      <c r="DQ76" s="7" t="s">
        <v>130</v>
      </c>
      <c r="DR76" s="107" t="str">
        <f>IF((vlm/MastLength)&gt;0.99,"yes",0)</f>
        <v>yes</v>
      </c>
    </row>
    <row r="77" spans="1:1033" ht="12.75" customHeight="1" x14ac:dyDescent="0.2">
      <c r="A77" s="53" t="s">
        <v>576</v>
      </c>
      <c r="B77" s="54">
        <v>1</v>
      </c>
      <c r="C77" s="92">
        <f t="shared" si="114"/>
        <v>107.99246274269538</v>
      </c>
      <c r="D77" s="92">
        <f t="shared" si="115"/>
        <v>102.88738028662762</v>
      </c>
      <c r="E77" s="92">
        <f>VLOOKUP(A77,[3]TRTOTAL!$A$7:$D$313,3,FALSE)</f>
        <v>108.87863805667132</v>
      </c>
      <c r="F77" s="92">
        <f>VLOOKUP(A77,[3]TRTOTAL!$A$7:$D$313,4,FALSE)</f>
        <v>103.53979364673148</v>
      </c>
      <c r="G77" s="92">
        <f t="shared" si="112"/>
        <v>-0.88617531397594007</v>
      </c>
      <c r="H77" s="92">
        <f t="shared" si="113"/>
        <v>-0.65241336010386419</v>
      </c>
      <c r="I77" s="54">
        <v>5</v>
      </c>
      <c r="J77" s="56">
        <v>5</v>
      </c>
      <c r="K77" s="54">
        <v>2.5</v>
      </c>
      <c r="L77" s="57">
        <v>1</v>
      </c>
      <c r="M77" s="57"/>
      <c r="N77" s="57">
        <v>119</v>
      </c>
      <c r="O77" s="87"/>
      <c r="P77" s="24">
        <f t="shared" si="87"/>
        <v>15</v>
      </c>
      <c r="Q77" s="24">
        <f t="shared" si="86"/>
        <v>8.48</v>
      </c>
      <c r="R77" s="24">
        <f t="shared" si="116"/>
        <v>0</v>
      </c>
      <c r="S77" s="87">
        <v>8.5</v>
      </c>
      <c r="T77" s="21">
        <f t="shared" si="88"/>
        <v>0</v>
      </c>
      <c r="U77" s="21"/>
      <c r="V77" s="24">
        <f t="shared" si="117"/>
        <v>2.06</v>
      </c>
      <c r="W77" s="24">
        <f t="shared" si="118"/>
        <v>2.2200000000000002</v>
      </c>
      <c r="X77" s="24">
        <f t="shared" si="89"/>
        <v>3.0435841246652053</v>
      </c>
      <c r="Y77" s="25">
        <f t="shared" si="128"/>
        <v>1</v>
      </c>
      <c r="Z77" s="24">
        <f t="shared" si="119"/>
        <v>14.034005900949326</v>
      </c>
      <c r="AA77" s="21">
        <f t="shared" si="90"/>
        <v>0</v>
      </c>
      <c r="AB77" s="24">
        <f t="shared" si="120"/>
        <v>0</v>
      </c>
      <c r="AC77" s="24">
        <f t="shared" ref="AC77:AC142" si="142">rsam+rsag+IF(rsascr,rsascr-jibred*rsag,rsas-jibred*rsag)</f>
        <v>16.659005900949325</v>
      </c>
      <c r="AD77" s="58">
        <f t="shared" si="92"/>
        <v>188</v>
      </c>
      <c r="AE77" s="58">
        <f t="shared" si="93"/>
        <v>194</v>
      </c>
      <c r="AF77" s="21">
        <f t="shared" si="94"/>
        <v>2.625</v>
      </c>
      <c r="AG77" s="77">
        <f t="shared" si="95"/>
        <v>0</v>
      </c>
      <c r="AH77" s="114">
        <f t="shared" si="129"/>
        <v>1</v>
      </c>
      <c r="AI77" s="59">
        <f t="shared" si="96"/>
        <v>102.29155895356428</v>
      </c>
      <c r="AJ77" s="59">
        <f t="shared" si="97"/>
        <v>96.491062311250758</v>
      </c>
      <c r="AK77" s="55"/>
      <c r="AL77" s="55">
        <v>2.06</v>
      </c>
      <c r="AM77" s="21">
        <f t="shared" si="130"/>
        <v>0</v>
      </c>
      <c r="AN77" s="55">
        <v>8.48</v>
      </c>
      <c r="AO77" s="55"/>
      <c r="AP77" s="21">
        <f t="shared" si="131"/>
        <v>0</v>
      </c>
      <c r="AQ77" s="55"/>
      <c r="AR77" s="55">
        <v>0</v>
      </c>
      <c r="AS77" s="21">
        <f t="shared" si="132"/>
        <v>0</v>
      </c>
      <c r="AT77" s="54"/>
      <c r="AU77" s="54"/>
      <c r="AV77" s="21">
        <f t="shared" si="133"/>
        <v>0</v>
      </c>
      <c r="AW77" s="54"/>
      <c r="AX77" s="54"/>
      <c r="AY77" s="21">
        <f t="shared" si="134"/>
        <v>0</v>
      </c>
      <c r="AZ77" s="54"/>
      <c r="BA77" s="54"/>
      <c r="BB77" s="21">
        <f t="shared" si="135"/>
        <v>0</v>
      </c>
      <c r="BC77" s="54"/>
      <c r="BD77" s="54"/>
      <c r="BE77" s="21">
        <f t="shared" si="136"/>
        <v>0</v>
      </c>
      <c r="BF77" s="55"/>
      <c r="BG77" s="55"/>
      <c r="BH77" s="21">
        <f t="shared" si="137"/>
        <v>0</v>
      </c>
      <c r="BI77" s="55"/>
      <c r="BJ77" s="55"/>
      <c r="BK77" s="21">
        <f t="shared" si="138"/>
        <v>0</v>
      </c>
      <c r="BL77" s="55"/>
      <c r="BM77" s="55"/>
      <c r="BN77" s="21">
        <f t="shared" si="139"/>
        <v>0</v>
      </c>
      <c r="BO77" s="55"/>
      <c r="BP77" s="55"/>
      <c r="BQ77" s="21">
        <f t="shared" si="140"/>
        <v>0</v>
      </c>
      <c r="BR77" s="55"/>
      <c r="BS77" s="21">
        <f t="shared" si="141"/>
        <v>0</v>
      </c>
      <c r="BT77" s="56">
        <v>0</v>
      </c>
      <c r="BU77" s="56"/>
      <c r="BV77" s="21">
        <f t="shared" si="82"/>
        <v>0</v>
      </c>
      <c r="BW77" s="77">
        <f t="shared" si="121"/>
        <v>0</v>
      </c>
      <c r="BX77" s="55"/>
      <c r="BY77" s="21">
        <f t="shared" si="83"/>
        <v>0</v>
      </c>
      <c r="BZ77" s="55"/>
      <c r="CA77" s="55"/>
      <c r="CB77" s="21">
        <f t="shared" si="84"/>
        <v>0</v>
      </c>
      <c r="CC77" s="55"/>
      <c r="CD77" s="55"/>
      <c r="CE77" s="21">
        <f t="shared" si="85"/>
        <v>0</v>
      </c>
      <c r="CF77" s="21"/>
      <c r="CG77" s="21"/>
      <c r="CH77" s="21">
        <f t="shared" si="122"/>
        <v>0</v>
      </c>
      <c r="CI77" s="25">
        <f t="shared" si="123"/>
        <v>0</v>
      </c>
      <c r="CJ77" s="54"/>
      <c r="CK77" s="21">
        <f t="shared" si="107"/>
        <v>0</v>
      </c>
      <c r="CL77" s="55"/>
      <c r="CM77" s="55"/>
      <c r="CN77" s="60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21">
        <f t="shared" si="124"/>
        <v>0</v>
      </c>
      <c r="CZ77" s="56"/>
      <c r="DA77" s="56"/>
      <c r="DB77" s="56"/>
      <c r="DC77" s="56"/>
      <c r="DD77" s="61">
        <f t="shared" si="125"/>
        <v>0</v>
      </c>
      <c r="DE77" s="21">
        <f t="shared" si="126"/>
        <v>17.5</v>
      </c>
      <c r="DF77" s="55">
        <v>15</v>
      </c>
      <c r="DG77" s="55"/>
      <c r="DH77" s="55"/>
      <c r="DI77" s="55">
        <v>17.5</v>
      </c>
      <c r="DJ77" s="104"/>
      <c r="DK77" s="53" t="s">
        <v>129</v>
      </c>
      <c r="DM77" s="58">
        <f t="shared" si="108"/>
        <v>661.05349631999991</v>
      </c>
      <c r="DN77" s="58">
        <f t="shared" si="109"/>
        <v>403.75</v>
      </c>
      <c r="DO77" s="21">
        <f t="shared" si="110"/>
        <v>0.61076751314019895</v>
      </c>
      <c r="DP77" s="62">
        <f t="shared" si="127"/>
        <v>1.0557319083554007</v>
      </c>
      <c r="DQ77" s="7" t="s">
        <v>130</v>
      </c>
      <c r="DR77" s="107" t="str">
        <f t="shared" si="111"/>
        <v>yes</v>
      </c>
    </row>
    <row r="78" spans="1:1033" ht="12.75" customHeight="1" x14ac:dyDescent="0.2">
      <c r="A78" s="53" t="s">
        <v>240</v>
      </c>
      <c r="B78" s="54">
        <v>2</v>
      </c>
      <c r="C78" s="92">
        <f t="shared" si="114"/>
        <v>104.38083581564808</v>
      </c>
      <c r="D78" s="92">
        <f t="shared" si="115"/>
        <v>99.960418870354729</v>
      </c>
      <c r="E78" s="92">
        <f>VLOOKUP(A78,[3]TRTOTAL!$A$7:$D$313,3,FALSE)</f>
        <v>104.95771809188007</v>
      </c>
      <c r="F78" s="92">
        <f>VLOOKUP(A78,[3]TRTOTAL!$A$7:$D$313,4,FALSE)</f>
        <v>100.37014141528145</v>
      </c>
      <c r="G78" s="92">
        <f t="shared" si="112"/>
        <v>-0.57688227623198429</v>
      </c>
      <c r="H78" s="92">
        <f t="shared" si="113"/>
        <v>-0.40972254492672278</v>
      </c>
      <c r="I78" s="54">
        <v>5.52</v>
      </c>
      <c r="J78" s="56">
        <v>5.52</v>
      </c>
      <c r="K78" s="54">
        <v>2.6</v>
      </c>
      <c r="L78" s="57">
        <v>2</v>
      </c>
      <c r="M78" s="57"/>
      <c r="N78" s="57">
        <v>180</v>
      </c>
      <c r="O78" s="87"/>
      <c r="P78" s="24">
        <f t="shared" si="87"/>
        <v>17</v>
      </c>
      <c r="Q78" s="24">
        <f t="shared" si="86"/>
        <v>9.0500000000000007</v>
      </c>
      <c r="R78" s="24">
        <f t="shared" si="116"/>
        <v>4.3</v>
      </c>
      <c r="S78" s="87">
        <v>9.0500000000000007</v>
      </c>
      <c r="T78" s="21">
        <f t="shared" si="88"/>
        <v>5.73</v>
      </c>
      <c r="U78" s="21">
        <v>2.1</v>
      </c>
      <c r="V78" s="24">
        <f t="shared" si="117"/>
        <v>2.1</v>
      </c>
      <c r="W78" s="24">
        <f t="shared" si="118"/>
        <v>2.2600000000000002</v>
      </c>
      <c r="X78" s="24">
        <f t="shared" si="89"/>
        <v>3.3283734043386315</v>
      </c>
      <c r="Y78" s="25">
        <f t="shared" si="128"/>
        <v>1</v>
      </c>
      <c r="Z78" s="24">
        <f t="shared" si="119"/>
        <v>16.337791034816128</v>
      </c>
      <c r="AA78" s="21">
        <f t="shared" si="90"/>
        <v>0</v>
      </c>
      <c r="AB78" s="24">
        <f t="shared" si="120"/>
        <v>3.87</v>
      </c>
      <c r="AC78" s="24">
        <f t="shared" si="142"/>
        <v>22.854691034816128</v>
      </c>
      <c r="AD78" s="58">
        <f t="shared" si="92"/>
        <v>324</v>
      </c>
      <c r="AE78" s="58">
        <f t="shared" si="93"/>
        <v>330</v>
      </c>
      <c r="AF78" s="21">
        <f t="shared" si="94"/>
        <v>3.15</v>
      </c>
      <c r="AG78" s="77">
        <f t="shared" si="95"/>
        <v>0</v>
      </c>
      <c r="AH78" s="114">
        <f t="shared" si="129"/>
        <v>1</v>
      </c>
      <c r="AI78" s="59">
        <f t="shared" si="96"/>
        <v>102.43303194979761</v>
      </c>
      <c r="AJ78" s="59">
        <f t="shared" si="97"/>
        <v>98.095102418476685</v>
      </c>
      <c r="AK78" s="55"/>
      <c r="AL78" s="55"/>
      <c r="AM78" s="21">
        <f t="shared" si="130"/>
        <v>0</v>
      </c>
      <c r="AN78" s="54">
        <v>9.0500000000000007</v>
      </c>
      <c r="AO78" s="55"/>
      <c r="AP78" s="21">
        <f t="shared" si="131"/>
        <v>0</v>
      </c>
      <c r="AQ78" s="55"/>
      <c r="AR78" s="55"/>
      <c r="AS78" s="21">
        <f t="shared" si="132"/>
        <v>0</v>
      </c>
      <c r="AT78" s="54"/>
      <c r="AU78" s="54"/>
      <c r="AV78" s="21">
        <f t="shared" si="133"/>
        <v>0</v>
      </c>
      <c r="AW78" s="54"/>
      <c r="AX78" s="54"/>
      <c r="AY78" s="21">
        <f t="shared" si="134"/>
        <v>0</v>
      </c>
      <c r="AZ78" s="54"/>
      <c r="BA78" s="54"/>
      <c r="BB78" s="21">
        <f t="shared" si="135"/>
        <v>0</v>
      </c>
      <c r="BC78" s="54"/>
      <c r="BD78" s="54"/>
      <c r="BE78" s="21">
        <f t="shared" si="136"/>
        <v>0</v>
      </c>
      <c r="BF78" s="55"/>
      <c r="BG78" s="55"/>
      <c r="BH78" s="21">
        <f t="shared" si="137"/>
        <v>0</v>
      </c>
      <c r="BI78" s="55"/>
      <c r="BJ78" s="55"/>
      <c r="BK78" s="21">
        <f t="shared" si="138"/>
        <v>0</v>
      </c>
      <c r="BL78" s="55"/>
      <c r="BM78" s="55"/>
      <c r="BN78" s="21">
        <f t="shared" si="139"/>
        <v>0</v>
      </c>
      <c r="BO78" s="55"/>
      <c r="BP78" s="55"/>
      <c r="BQ78" s="21">
        <f t="shared" si="140"/>
        <v>0</v>
      </c>
      <c r="BR78" s="55"/>
      <c r="BS78" s="21">
        <f t="shared" si="141"/>
        <v>0</v>
      </c>
      <c r="BT78" s="56">
        <v>0</v>
      </c>
      <c r="BU78" s="56"/>
      <c r="BV78" s="21">
        <f t="shared" ref="BV78:BV98" si="143">BT78*BU78*0.5</f>
        <v>0</v>
      </c>
      <c r="BW78" s="77">
        <f t="shared" si="121"/>
        <v>0</v>
      </c>
      <c r="BX78" s="55"/>
      <c r="BY78" s="21">
        <f t="shared" ref="BY78:BY98" si="144">BW78*BX78*2/3</f>
        <v>0</v>
      </c>
      <c r="BZ78" s="55"/>
      <c r="CA78" s="55"/>
      <c r="CB78" s="21">
        <f t="shared" ref="CB78:CB98" si="145">BZ78*CA78*2/3</f>
        <v>0</v>
      </c>
      <c r="CC78" s="55"/>
      <c r="CD78" s="55"/>
      <c r="CE78" s="21">
        <f t="shared" ref="CE78:CE98" si="146">CC78*CD78*2/3</f>
        <v>0</v>
      </c>
      <c r="CF78" s="21"/>
      <c r="CG78" s="21"/>
      <c r="CH78" s="21">
        <f t="shared" si="122"/>
        <v>0</v>
      </c>
      <c r="CI78" s="25">
        <f t="shared" si="123"/>
        <v>4.3</v>
      </c>
      <c r="CJ78" s="54"/>
      <c r="CK78" s="21">
        <f t="shared" si="107"/>
        <v>0</v>
      </c>
      <c r="CL78" s="55"/>
      <c r="CM78" s="55"/>
      <c r="CN78" s="60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21">
        <f t="shared" si="124"/>
        <v>0</v>
      </c>
      <c r="CZ78" s="56"/>
      <c r="DA78" s="56"/>
      <c r="DB78" s="56"/>
      <c r="DC78" s="56"/>
      <c r="DD78" s="61">
        <f t="shared" si="125"/>
        <v>0</v>
      </c>
      <c r="DE78" s="21">
        <f t="shared" si="126"/>
        <v>21</v>
      </c>
      <c r="DF78" s="55">
        <v>17</v>
      </c>
      <c r="DG78" s="55">
        <v>4.3</v>
      </c>
      <c r="DH78" s="55">
        <v>5.73</v>
      </c>
      <c r="DI78" s="55">
        <v>21</v>
      </c>
      <c r="DJ78" s="104"/>
      <c r="DK78" s="53" t="s">
        <v>169</v>
      </c>
      <c r="DM78" s="58">
        <f t="shared" si="108"/>
        <v>909.31118396160002</v>
      </c>
      <c r="DN78" s="58">
        <f t="shared" si="109"/>
        <v>766.2</v>
      </c>
      <c r="DO78" s="21">
        <f t="shared" si="110"/>
        <v>0.84261583219717273</v>
      </c>
      <c r="DP78" s="62">
        <f t="shared" si="127"/>
        <v>1.0190153881885005</v>
      </c>
      <c r="DQ78" s="7" t="s">
        <v>130</v>
      </c>
      <c r="DR78" s="107" t="str">
        <f t="shared" si="111"/>
        <v>yes</v>
      </c>
    </row>
    <row r="79" spans="1:1033" ht="12.75" customHeight="1" x14ac:dyDescent="0.2">
      <c r="A79" s="53" t="s">
        <v>241</v>
      </c>
      <c r="B79" s="54">
        <v>2</v>
      </c>
      <c r="C79" s="92">
        <f t="shared" si="114"/>
        <v>102.22149970840225</v>
      </c>
      <c r="D79" s="92">
        <f t="shared" si="115"/>
        <v>97.332274994404258</v>
      </c>
      <c r="E79" s="92">
        <f>VLOOKUP(A79,[3]TRTOTAL!$A$7:$D$313,3,FALSE)</f>
        <v>102.22149970840225</v>
      </c>
      <c r="F79" s="92">
        <f>VLOOKUP(A79,[3]TRTOTAL!$A$7:$D$313,4,FALSE)</f>
        <v>97.332274994404258</v>
      </c>
      <c r="G79" s="92">
        <f t="shared" si="112"/>
        <v>0</v>
      </c>
      <c r="H79" s="92">
        <f t="shared" si="113"/>
        <v>0</v>
      </c>
      <c r="I79" s="54">
        <v>5.5</v>
      </c>
      <c r="J79" s="56">
        <v>5.5</v>
      </c>
      <c r="K79" s="54">
        <v>2.5</v>
      </c>
      <c r="L79" s="57">
        <v>2</v>
      </c>
      <c r="M79" s="57"/>
      <c r="N79" s="57">
        <v>130</v>
      </c>
      <c r="O79" s="87"/>
      <c r="P79" s="24">
        <f t="shared" si="87"/>
        <v>20</v>
      </c>
      <c r="Q79" s="24">
        <f t="shared" si="86"/>
        <v>10.3</v>
      </c>
      <c r="R79" s="24">
        <f t="shared" si="116"/>
        <v>0</v>
      </c>
      <c r="S79" s="87">
        <v>10.5</v>
      </c>
      <c r="T79" s="21">
        <f t="shared" si="88"/>
        <v>0</v>
      </c>
      <c r="U79" s="21">
        <v>2.145</v>
      </c>
      <c r="V79" s="24">
        <f t="shared" si="117"/>
        <v>2.145</v>
      </c>
      <c r="W79" s="24">
        <f t="shared" si="118"/>
        <v>2.3050000000000002</v>
      </c>
      <c r="X79" s="24">
        <f t="shared" si="89"/>
        <v>3.7643338775932729</v>
      </c>
      <c r="Y79" s="25">
        <f t="shared" si="128"/>
        <v>1</v>
      </c>
      <c r="Z79" s="24">
        <f t="shared" si="119"/>
        <v>19.943952871040239</v>
      </c>
      <c r="AA79" s="21">
        <f t="shared" si="90"/>
        <v>0</v>
      </c>
      <c r="AB79" s="24">
        <f t="shared" si="120"/>
        <v>0</v>
      </c>
      <c r="AC79" s="24">
        <f t="shared" si="142"/>
        <v>22.943952871040239</v>
      </c>
      <c r="AD79" s="58">
        <f t="shared" si="92"/>
        <v>274</v>
      </c>
      <c r="AE79" s="58">
        <f t="shared" si="93"/>
        <v>280</v>
      </c>
      <c r="AF79" s="21">
        <f t="shared" si="94"/>
        <v>3</v>
      </c>
      <c r="AG79" s="77">
        <f t="shared" si="95"/>
        <v>0</v>
      </c>
      <c r="AH79" s="114">
        <f t="shared" si="129"/>
        <v>1</v>
      </c>
      <c r="AI79" s="59">
        <f t="shared" si="96"/>
        <v>97.619772232985767</v>
      </c>
      <c r="AJ79" s="59">
        <f t="shared" si="97"/>
        <v>92.950646810859553</v>
      </c>
      <c r="AK79" s="55"/>
      <c r="AL79" s="55"/>
      <c r="AM79" s="21">
        <f t="shared" si="130"/>
        <v>0</v>
      </c>
      <c r="AN79" s="54">
        <v>10.3</v>
      </c>
      <c r="AO79" s="55"/>
      <c r="AP79" s="21">
        <f t="shared" si="131"/>
        <v>0</v>
      </c>
      <c r="AQ79" s="55"/>
      <c r="AR79" s="55"/>
      <c r="AS79" s="21">
        <f t="shared" si="132"/>
        <v>0</v>
      </c>
      <c r="AT79" s="54"/>
      <c r="AU79" s="54"/>
      <c r="AV79" s="21">
        <f t="shared" si="133"/>
        <v>0</v>
      </c>
      <c r="AW79" s="54"/>
      <c r="AX79" s="54"/>
      <c r="AY79" s="21">
        <f t="shared" si="134"/>
        <v>0</v>
      </c>
      <c r="AZ79" s="54"/>
      <c r="BA79" s="54"/>
      <c r="BB79" s="21">
        <f t="shared" si="135"/>
        <v>0</v>
      </c>
      <c r="BC79" s="54"/>
      <c r="BD79" s="54"/>
      <c r="BE79" s="21">
        <f t="shared" si="136"/>
        <v>0</v>
      </c>
      <c r="BF79" s="55"/>
      <c r="BG79" s="55"/>
      <c r="BH79" s="21">
        <f t="shared" si="137"/>
        <v>0</v>
      </c>
      <c r="BI79" s="55"/>
      <c r="BJ79" s="55"/>
      <c r="BK79" s="21">
        <f t="shared" si="138"/>
        <v>0</v>
      </c>
      <c r="BL79" s="55"/>
      <c r="BM79" s="55"/>
      <c r="BN79" s="21">
        <f t="shared" si="139"/>
        <v>0</v>
      </c>
      <c r="BO79" s="55"/>
      <c r="BP79" s="55"/>
      <c r="BQ79" s="21">
        <f t="shared" si="140"/>
        <v>0</v>
      </c>
      <c r="BR79" s="55"/>
      <c r="BS79" s="21">
        <f t="shared" si="141"/>
        <v>0</v>
      </c>
      <c r="BT79" s="56">
        <v>0</v>
      </c>
      <c r="BU79" s="56"/>
      <c r="BV79" s="21">
        <f t="shared" si="143"/>
        <v>0</v>
      </c>
      <c r="BW79" s="77">
        <f t="shared" si="121"/>
        <v>0</v>
      </c>
      <c r="BX79" s="55"/>
      <c r="BY79" s="21">
        <f t="shared" si="144"/>
        <v>0</v>
      </c>
      <c r="BZ79" s="55"/>
      <c r="CA79" s="55"/>
      <c r="CB79" s="21">
        <f t="shared" si="145"/>
        <v>0</v>
      </c>
      <c r="CC79" s="54"/>
      <c r="CD79" s="54"/>
      <c r="CE79" s="21">
        <f t="shared" si="146"/>
        <v>0</v>
      </c>
      <c r="CF79" s="21"/>
      <c r="CG79" s="21"/>
      <c r="CH79" s="21">
        <f t="shared" si="122"/>
        <v>0</v>
      </c>
      <c r="CI79" s="25">
        <f t="shared" si="123"/>
        <v>0</v>
      </c>
      <c r="CJ79" s="54"/>
      <c r="CK79" s="21">
        <f t="shared" si="107"/>
        <v>0</v>
      </c>
      <c r="CL79" s="55"/>
      <c r="CM79" s="55"/>
      <c r="CN79" s="60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21">
        <f t="shared" si="124"/>
        <v>0</v>
      </c>
      <c r="CZ79" s="56"/>
      <c r="DA79" s="56"/>
      <c r="DB79" s="56"/>
      <c r="DC79" s="56"/>
      <c r="DD79" s="61">
        <f t="shared" si="125"/>
        <v>0</v>
      </c>
      <c r="DE79" s="21">
        <f t="shared" si="126"/>
        <v>20</v>
      </c>
      <c r="DF79" s="55">
        <v>20</v>
      </c>
      <c r="DG79" s="55"/>
      <c r="DH79" s="55"/>
      <c r="DI79" s="55">
        <v>20</v>
      </c>
      <c r="DJ79" s="104"/>
      <c r="DK79" s="53" t="s">
        <v>129</v>
      </c>
      <c r="DM79" s="58">
        <f t="shared" si="108"/>
        <v>1033.6359935999999</v>
      </c>
      <c r="DN79" s="58">
        <f t="shared" si="109"/>
        <v>680</v>
      </c>
      <c r="DO79" s="21">
        <f t="shared" si="110"/>
        <v>0.65787182742317385</v>
      </c>
      <c r="DP79" s="62">
        <f t="shared" si="127"/>
        <v>1.0471392974000564</v>
      </c>
      <c r="DQ79" s="7">
        <v>0</v>
      </c>
      <c r="DR79" s="107">
        <f t="shared" si="111"/>
        <v>0</v>
      </c>
    </row>
    <row r="80" spans="1:1033" ht="12.75" customHeight="1" x14ac:dyDescent="0.2">
      <c r="A80" s="53" t="s">
        <v>242</v>
      </c>
      <c r="B80" s="54">
        <v>2</v>
      </c>
      <c r="C80" s="92">
        <f t="shared" si="114"/>
        <v>111.60479146833001</v>
      </c>
      <c r="D80" s="92">
        <f t="shared" si="115"/>
        <v>104.63308098661116</v>
      </c>
      <c r="E80" s="92">
        <f>VLOOKUP(A80,[3]TRTOTAL!$A$7:$D$313,3,FALSE)</f>
        <v>112.11998150302958</v>
      </c>
      <c r="F80" s="92">
        <f>VLOOKUP(A80,[3]TRTOTAL!$A$7:$D$313,4,FALSE)</f>
        <v>104.97308703577731</v>
      </c>
      <c r="G80" s="92">
        <f t="shared" si="112"/>
        <v>-0.5151900346995717</v>
      </c>
      <c r="H80" s="92">
        <f t="shared" si="113"/>
        <v>-0.34000604916614918</v>
      </c>
      <c r="I80" s="54">
        <v>5.52</v>
      </c>
      <c r="J80" s="56">
        <v>5.52</v>
      </c>
      <c r="K80" s="54">
        <v>2.6</v>
      </c>
      <c r="L80" s="57">
        <v>2</v>
      </c>
      <c r="M80" s="57"/>
      <c r="N80" s="57">
        <v>177</v>
      </c>
      <c r="O80" s="87"/>
      <c r="P80" s="24">
        <f t="shared" si="87"/>
        <v>17</v>
      </c>
      <c r="Q80" s="24">
        <f t="shared" si="86"/>
        <v>9.0500000000000007</v>
      </c>
      <c r="R80" s="24">
        <f t="shared" si="116"/>
        <v>0</v>
      </c>
      <c r="S80" s="87">
        <v>9.0500000000000007</v>
      </c>
      <c r="T80" s="21">
        <f t="shared" si="88"/>
        <v>0</v>
      </c>
      <c r="U80" s="21">
        <v>2.1</v>
      </c>
      <c r="V80" s="24">
        <f t="shared" si="117"/>
        <v>2.1</v>
      </c>
      <c r="W80" s="24">
        <f t="shared" si="118"/>
        <v>2.2600000000000002</v>
      </c>
      <c r="X80" s="24">
        <f t="shared" si="89"/>
        <v>3.3283734043386315</v>
      </c>
      <c r="Y80" s="25">
        <f t="shared" si="128"/>
        <v>1</v>
      </c>
      <c r="Z80" s="24">
        <f t="shared" si="119"/>
        <v>16.337791034816128</v>
      </c>
      <c r="AA80" s="21">
        <f t="shared" si="90"/>
        <v>0</v>
      </c>
      <c r="AB80" s="24">
        <f t="shared" si="120"/>
        <v>0</v>
      </c>
      <c r="AC80" s="24">
        <f t="shared" si="142"/>
        <v>19.487791034816127</v>
      </c>
      <c r="AD80" s="58">
        <f t="shared" si="92"/>
        <v>321</v>
      </c>
      <c r="AE80" s="58">
        <f t="shared" si="93"/>
        <v>327</v>
      </c>
      <c r="AF80" s="21">
        <f t="shared" si="94"/>
        <v>3.15</v>
      </c>
      <c r="AG80" s="77">
        <f t="shared" si="95"/>
        <v>0</v>
      </c>
      <c r="AH80" s="114">
        <f t="shared" si="129"/>
        <v>1</v>
      </c>
      <c r="AI80" s="59">
        <f t="shared" si="96"/>
        <v>111.18782556139675</v>
      </c>
      <c r="AJ80" s="59">
        <f t="shared" si="97"/>
        <v>104.24216204007845</v>
      </c>
      <c r="AK80" s="55"/>
      <c r="AL80" s="55"/>
      <c r="AM80" s="21">
        <f t="shared" si="130"/>
        <v>0</v>
      </c>
      <c r="AN80" s="54">
        <v>9.0500000000000007</v>
      </c>
      <c r="AO80" s="55"/>
      <c r="AP80" s="21">
        <f t="shared" si="131"/>
        <v>0</v>
      </c>
      <c r="AQ80" s="55"/>
      <c r="AR80" s="55"/>
      <c r="AS80" s="21">
        <f t="shared" si="132"/>
        <v>0</v>
      </c>
      <c r="AT80" s="54"/>
      <c r="AU80" s="54"/>
      <c r="AV80" s="21">
        <f t="shared" si="133"/>
        <v>0</v>
      </c>
      <c r="AW80" s="54"/>
      <c r="AX80" s="54"/>
      <c r="AY80" s="21">
        <f t="shared" si="134"/>
        <v>0</v>
      </c>
      <c r="AZ80" s="54"/>
      <c r="BA80" s="54"/>
      <c r="BB80" s="21">
        <f t="shared" si="135"/>
        <v>0</v>
      </c>
      <c r="BC80" s="54"/>
      <c r="BD80" s="54"/>
      <c r="BE80" s="21">
        <f t="shared" si="136"/>
        <v>0</v>
      </c>
      <c r="BF80" s="55"/>
      <c r="BG80" s="55"/>
      <c r="BH80" s="21">
        <f t="shared" si="137"/>
        <v>0</v>
      </c>
      <c r="BI80" s="55"/>
      <c r="BJ80" s="55"/>
      <c r="BK80" s="21">
        <f t="shared" si="138"/>
        <v>0</v>
      </c>
      <c r="BL80" s="55"/>
      <c r="BM80" s="55"/>
      <c r="BN80" s="21">
        <f t="shared" si="139"/>
        <v>0</v>
      </c>
      <c r="BO80" s="55"/>
      <c r="BP80" s="55"/>
      <c r="BQ80" s="21">
        <f t="shared" si="140"/>
        <v>0</v>
      </c>
      <c r="BR80" s="55"/>
      <c r="BS80" s="21">
        <f t="shared" si="141"/>
        <v>0</v>
      </c>
      <c r="BT80" s="56">
        <v>0</v>
      </c>
      <c r="BU80" s="56"/>
      <c r="BV80" s="21">
        <f t="shared" si="143"/>
        <v>0</v>
      </c>
      <c r="BW80" s="77">
        <f t="shared" si="121"/>
        <v>0</v>
      </c>
      <c r="BX80" s="55"/>
      <c r="BY80" s="21">
        <f t="shared" si="144"/>
        <v>0</v>
      </c>
      <c r="BZ80" s="55"/>
      <c r="CA80" s="55"/>
      <c r="CB80" s="21">
        <f t="shared" si="145"/>
        <v>0</v>
      </c>
      <c r="CC80" s="55"/>
      <c r="CD80" s="55"/>
      <c r="CE80" s="21">
        <f t="shared" si="146"/>
        <v>0</v>
      </c>
      <c r="CF80" s="21"/>
      <c r="CG80" s="21"/>
      <c r="CH80" s="21">
        <f t="shared" si="122"/>
        <v>0</v>
      </c>
      <c r="CI80" s="25">
        <f t="shared" si="123"/>
        <v>0</v>
      </c>
      <c r="CJ80" s="54"/>
      <c r="CK80" s="21">
        <f t="shared" si="107"/>
        <v>0</v>
      </c>
      <c r="CL80" s="55"/>
      <c r="CM80" s="55"/>
      <c r="CN80" s="60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21">
        <f t="shared" si="124"/>
        <v>0</v>
      </c>
      <c r="CZ80" s="56"/>
      <c r="DA80" s="56"/>
      <c r="DB80" s="56"/>
      <c r="DC80" s="56"/>
      <c r="DD80" s="61">
        <f t="shared" si="125"/>
        <v>0</v>
      </c>
      <c r="DE80" s="21">
        <f t="shared" si="126"/>
        <v>21</v>
      </c>
      <c r="DF80" s="55">
        <v>17</v>
      </c>
      <c r="DG80" s="55"/>
      <c r="DH80" s="55"/>
      <c r="DI80" s="55">
        <v>21</v>
      </c>
      <c r="DJ80" s="104"/>
      <c r="DK80" s="53" t="s">
        <v>169</v>
      </c>
      <c r="DM80" s="58">
        <f t="shared" si="108"/>
        <v>788.68599935999998</v>
      </c>
      <c r="DN80" s="58">
        <f t="shared" si="109"/>
        <v>762.3</v>
      </c>
      <c r="DO80" s="21">
        <f t="shared" si="110"/>
        <v>0.96654435430397945</v>
      </c>
      <c r="DP80" s="62">
        <f t="shared" si="127"/>
        <v>1.0037501039779126</v>
      </c>
      <c r="DQ80" s="7">
        <v>0</v>
      </c>
      <c r="DR80" s="107" t="str">
        <f t="shared" si="111"/>
        <v>yes</v>
      </c>
    </row>
    <row r="81" spans="1:122" ht="12.75" customHeight="1" x14ac:dyDescent="0.2">
      <c r="A81" s="53" t="s">
        <v>243</v>
      </c>
      <c r="B81" s="54">
        <v>2</v>
      </c>
      <c r="C81" s="92">
        <f t="shared" si="114"/>
        <v>101.17251780238581</v>
      </c>
      <c r="D81" s="92">
        <f t="shared" si="115"/>
        <v>96.196695198272209</v>
      </c>
      <c r="E81" s="92">
        <f>VLOOKUP(A81,[3]TRTOTAL!$A$7:$D$313,3,FALSE)</f>
        <v>101.17251780238581</v>
      </c>
      <c r="F81" s="92">
        <f>VLOOKUP(A81,[3]TRTOTAL!$A$7:$D$313,4,FALSE)</f>
        <v>96.196695198272209</v>
      </c>
      <c r="G81" s="92">
        <f t="shared" si="112"/>
        <v>0</v>
      </c>
      <c r="H81" s="92">
        <f t="shared" si="113"/>
        <v>0</v>
      </c>
      <c r="I81" s="54">
        <v>6.12</v>
      </c>
      <c r="J81" s="56">
        <v>6.12</v>
      </c>
      <c r="K81" s="54">
        <v>2.6</v>
      </c>
      <c r="L81" s="57">
        <v>2</v>
      </c>
      <c r="M81" s="57"/>
      <c r="N81" s="57">
        <v>190</v>
      </c>
      <c r="O81" s="87"/>
      <c r="P81" s="24">
        <f t="shared" si="87"/>
        <v>18</v>
      </c>
      <c r="Q81" s="24">
        <f t="shared" si="86"/>
        <v>9.08</v>
      </c>
      <c r="R81" s="24">
        <f t="shared" si="116"/>
        <v>4.8499999999999996</v>
      </c>
      <c r="S81" s="87">
        <v>9.73</v>
      </c>
      <c r="T81" s="21">
        <f t="shared" si="88"/>
        <v>6.26</v>
      </c>
      <c r="U81" s="21">
        <v>2.2999999999999998</v>
      </c>
      <c r="V81" s="24">
        <f t="shared" si="117"/>
        <v>2.2999999999999998</v>
      </c>
      <c r="W81" s="24">
        <f t="shared" si="118"/>
        <v>2.46</v>
      </c>
      <c r="X81" s="24">
        <f t="shared" si="89"/>
        <v>2.9744199881023201</v>
      </c>
      <c r="Y81" s="25">
        <f t="shared" si="128"/>
        <v>1</v>
      </c>
      <c r="Z81" s="24">
        <f t="shared" si="119"/>
        <v>16.725071962595457</v>
      </c>
      <c r="AA81" s="21">
        <f t="shared" si="90"/>
        <v>0</v>
      </c>
      <c r="AB81" s="24">
        <f t="shared" si="120"/>
        <v>4.3650000000000002</v>
      </c>
      <c r="AC81" s="24">
        <f t="shared" si="142"/>
        <v>24.272621962595458</v>
      </c>
      <c r="AD81" s="58">
        <f t="shared" si="92"/>
        <v>334</v>
      </c>
      <c r="AE81" s="58">
        <f t="shared" si="93"/>
        <v>340</v>
      </c>
      <c r="AF81" s="21">
        <f t="shared" si="94"/>
        <v>3.75</v>
      </c>
      <c r="AG81" s="77">
        <f t="shared" si="95"/>
        <v>0</v>
      </c>
      <c r="AH81" s="114">
        <f t="shared" si="129"/>
        <v>1</v>
      </c>
      <c r="AI81" s="59">
        <f t="shared" si="96"/>
        <v>98.596865861855122</v>
      </c>
      <c r="AJ81" s="59">
        <f t="shared" si="97"/>
        <v>93.747717847090527</v>
      </c>
      <c r="AK81" s="55"/>
      <c r="AL81" s="55"/>
      <c r="AM81" s="21">
        <f t="shared" si="130"/>
        <v>0</v>
      </c>
      <c r="AN81" s="54">
        <v>9.08</v>
      </c>
      <c r="AO81" s="55"/>
      <c r="AP81" s="21">
        <f t="shared" si="131"/>
        <v>0</v>
      </c>
      <c r="AQ81" s="55"/>
      <c r="AR81" s="55"/>
      <c r="AS81" s="21">
        <f t="shared" si="132"/>
        <v>0</v>
      </c>
      <c r="AT81" s="54"/>
      <c r="AU81" s="54"/>
      <c r="AV81" s="21">
        <f t="shared" si="133"/>
        <v>0</v>
      </c>
      <c r="AW81" s="54"/>
      <c r="AX81" s="54"/>
      <c r="AY81" s="21">
        <f t="shared" si="134"/>
        <v>0</v>
      </c>
      <c r="AZ81" s="54"/>
      <c r="BA81" s="54"/>
      <c r="BB81" s="21">
        <f t="shared" si="135"/>
        <v>0</v>
      </c>
      <c r="BC81" s="54"/>
      <c r="BD81" s="54"/>
      <c r="BE81" s="21">
        <f t="shared" si="136"/>
        <v>0</v>
      </c>
      <c r="BF81" s="55"/>
      <c r="BG81" s="55"/>
      <c r="BH81" s="21">
        <f t="shared" si="137"/>
        <v>0</v>
      </c>
      <c r="BI81" s="55"/>
      <c r="BJ81" s="55"/>
      <c r="BK81" s="21">
        <f t="shared" si="138"/>
        <v>0</v>
      </c>
      <c r="BL81" s="55"/>
      <c r="BM81" s="55"/>
      <c r="BN81" s="21">
        <f t="shared" si="139"/>
        <v>0</v>
      </c>
      <c r="BO81" s="55"/>
      <c r="BP81" s="55"/>
      <c r="BQ81" s="21">
        <f t="shared" si="140"/>
        <v>0</v>
      </c>
      <c r="BR81" s="55"/>
      <c r="BS81" s="21">
        <f t="shared" si="141"/>
        <v>0</v>
      </c>
      <c r="BT81" s="56">
        <v>0</v>
      </c>
      <c r="BU81" s="56"/>
      <c r="BV81" s="21">
        <f t="shared" si="143"/>
        <v>0</v>
      </c>
      <c r="BW81" s="77">
        <f t="shared" si="121"/>
        <v>0</v>
      </c>
      <c r="BX81" s="55"/>
      <c r="BY81" s="21">
        <f t="shared" si="144"/>
        <v>0</v>
      </c>
      <c r="BZ81" s="55"/>
      <c r="CA81" s="55"/>
      <c r="CB81" s="21">
        <f t="shared" si="145"/>
        <v>0</v>
      </c>
      <c r="CC81" s="55"/>
      <c r="CD81" s="55"/>
      <c r="CE81" s="21">
        <f t="shared" si="146"/>
        <v>0</v>
      </c>
      <c r="CF81" s="21"/>
      <c r="CG81" s="21"/>
      <c r="CH81" s="21">
        <f t="shared" si="122"/>
        <v>0</v>
      </c>
      <c r="CI81" s="25">
        <f t="shared" si="123"/>
        <v>4.8499999999999996</v>
      </c>
      <c r="CJ81" s="54"/>
      <c r="CK81" s="21">
        <f t="shared" si="107"/>
        <v>0</v>
      </c>
      <c r="CL81" s="55"/>
      <c r="CM81" s="55"/>
      <c r="CN81" s="60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21">
        <f t="shared" si="124"/>
        <v>0</v>
      </c>
      <c r="CZ81" s="56"/>
      <c r="DA81" s="56"/>
      <c r="DB81" s="56"/>
      <c r="DC81" s="56"/>
      <c r="DD81" s="61">
        <f t="shared" si="125"/>
        <v>0</v>
      </c>
      <c r="DE81" s="21">
        <f t="shared" si="126"/>
        <v>25</v>
      </c>
      <c r="DF81" s="55">
        <v>18</v>
      </c>
      <c r="DG81" s="55">
        <v>4.8499999999999996</v>
      </c>
      <c r="DH81" s="55">
        <v>6.26</v>
      </c>
      <c r="DI81" s="55">
        <v>25</v>
      </c>
      <c r="DJ81" s="104"/>
      <c r="DK81" s="53" t="s">
        <v>129</v>
      </c>
      <c r="DM81" s="58">
        <f t="shared" si="108"/>
        <v>985.05869226239986</v>
      </c>
      <c r="DN81" s="58">
        <f t="shared" si="109"/>
        <v>779.2</v>
      </c>
      <c r="DO81" s="21">
        <f t="shared" si="110"/>
        <v>0.79101885615607237</v>
      </c>
      <c r="DP81" s="62">
        <f t="shared" si="127"/>
        <v>1.0261230609920142</v>
      </c>
      <c r="DQ81" s="7">
        <v>0</v>
      </c>
      <c r="DR81" s="107">
        <f t="shared" si="111"/>
        <v>0</v>
      </c>
    </row>
    <row r="82" spans="1:122" ht="12.75" customHeight="1" x14ac:dyDescent="0.2">
      <c r="A82" s="53" t="s">
        <v>511</v>
      </c>
      <c r="B82" s="54">
        <v>2</v>
      </c>
      <c r="C82" s="92">
        <f t="shared" si="114"/>
        <v>107.02332319859985</v>
      </c>
      <c r="D82" s="92">
        <f t="shared" si="115"/>
        <v>99.949630618165443</v>
      </c>
      <c r="E82" s="92">
        <f>VLOOKUP(A82,[3]TRTOTAL!$A$7:$D$313,3,FALSE)</f>
        <v>107.02332319859985</v>
      </c>
      <c r="F82" s="92">
        <f>VLOOKUP(A82,[3]TRTOTAL!$A$7:$D$313,4,FALSE)</f>
        <v>99.949630618165443</v>
      </c>
      <c r="G82" s="92">
        <f t="shared" si="112"/>
        <v>0</v>
      </c>
      <c r="H82" s="92">
        <f t="shared" si="113"/>
        <v>0</v>
      </c>
      <c r="I82" s="54">
        <v>6.1</v>
      </c>
      <c r="J82" s="56">
        <v>6</v>
      </c>
      <c r="K82" s="54">
        <v>3.05</v>
      </c>
      <c r="L82" s="57">
        <v>2</v>
      </c>
      <c r="M82" s="57"/>
      <c r="N82" s="57">
        <v>182</v>
      </c>
      <c r="O82" s="87"/>
      <c r="P82" s="24">
        <f t="shared" si="87"/>
        <v>22</v>
      </c>
      <c r="Q82" s="24">
        <f t="shared" si="86"/>
        <v>10.3</v>
      </c>
      <c r="R82" s="24">
        <f t="shared" si="116"/>
        <v>0</v>
      </c>
      <c r="S82" s="87">
        <v>10.7</v>
      </c>
      <c r="T82" s="21">
        <f t="shared" si="88"/>
        <v>0</v>
      </c>
      <c r="U82" s="21"/>
      <c r="V82" s="24">
        <f t="shared" si="117"/>
        <v>3.0900000000000003</v>
      </c>
      <c r="W82" s="24">
        <f t="shared" si="118"/>
        <v>3.2500000000000004</v>
      </c>
      <c r="X82" s="24">
        <f t="shared" si="89"/>
        <v>2.0828402366863896</v>
      </c>
      <c r="Y82" s="25">
        <f t="shared" si="128"/>
        <v>1</v>
      </c>
      <c r="Z82" s="24">
        <f t="shared" si="119"/>
        <v>18.369370392572229</v>
      </c>
      <c r="AA82" s="21">
        <f t="shared" si="90"/>
        <v>0</v>
      </c>
      <c r="AB82" s="24">
        <f t="shared" si="120"/>
        <v>0</v>
      </c>
      <c r="AC82" s="24">
        <f t="shared" si="142"/>
        <v>22.119370392572229</v>
      </c>
      <c r="AD82" s="58">
        <f t="shared" si="92"/>
        <v>326</v>
      </c>
      <c r="AE82" s="58">
        <f t="shared" si="93"/>
        <v>332</v>
      </c>
      <c r="AF82" s="21">
        <f t="shared" si="94"/>
        <v>3.75</v>
      </c>
      <c r="AG82" s="77">
        <f t="shared" si="95"/>
        <v>0</v>
      </c>
      <c r="AH82" s="114">
        <f t="shared" si="129"/>
        <v>1</v>
      </c>
      <c r="AI82" s="59">
        <f t="shared" si="96"/>
        <v>103.99555957162977</v>
      </c>
      <c r="AJ82" s="59">
        <f t="shared" si="97"/>
        <v>97.121986633001512</v>
      </c>
      <c r="AK82" s="55"/>
      <c r="AL82" s="55"/>
      <c r="AM82" s="21">
        <f t="shared" si="130"/>
        <v>0</v>
      </c>
      <c r="AN82" s="54">
        <v>10.3</v>
      </c>
      <c r="AO82" s="55"/>
      <c r="AP82" s="21">
        <f t="shared" si="131"/>
        <v>0</v>
      </c>
      <c r="AQ82" s="55"/>
      <c r="AR82" s="55"/>
      <c r="AS82" s="21">
        <f t="shared" si="132"/>
        <v>0</v>
      </c>
      <c r="AT82" s="54"/>
      <c r="AU82" s="54"/>
      <c r="AV82" s="21">
        <f t="shared" si="133"/>
        <v>0</v>
      </c>
      <c r="AW82" s="54"/>
      <c r="AX82" s="54"/>
      <c r="AY82" s="21">
        <f t="shared" si="134"/>
        <v>0</v>
      </c>
      <c r="AZ82" s="54"/>
      <c r="BA82" s="54"/>
      <c r="BB82" s="21">
        <f t="shared" si="135"/>
        <v>0</v>
      </c>
      <c r="BC82" s="54"/>
      <c r="BD82" s="54"/>
      <c r="BE82" s="21">
        <f t="shared" si="136"/>
        <v>0</v>
      </c>
      <c r="BF82" s="55"/>
      <c r="BG82" s="55"/>
      <c r="BH82" s="21">
        <f t="shared" si="137"/>
        <v>0</v>
      </c>
      <c r="BI82" s="55"/>
      <c r="BJ82" s="55"/>
      <c r="BK82" s="21">
        <f t="shared" si="138"/>
        <v>0</v>
      </c>
      <c r="BL82" s="55"/>
      <c r="BM82" s="55"/>
      <c r="BN82" s="21">
        <f t="shared" si="139"/>
        <v>0</v>
      </c>
      <c r="BO82" s="55"/>
      <c r="BP82" s="55"/>
      <c r="BQ82" s="21">
        <f t="shared" si="140"/>
        <v>0</v>
      </c>
      <c r="BR82" s="55"/>
      <c r="BS82" s="21">
        <f t="shared" si="141"/>
        <v>0</v>
      </c>
      <c r="BT82" s="56">
        <v>0</v>
      </c>
      <c r="BU82" s="56"/>
      <c r="BV82" s="21">
        <f t="shared" si="143"/>
        <v>0</v>
      </c>
      <c r="BW82" s="77">
        <f t="shared" si="121"/>
        <v>0</v>
      </c>
      <c r="BX82" s="55"/>
      <c r="BY82" s="21">
        <f t="shared" si="144"/>
        <v>0</v>
      </c>
      <c r="BZ82" s="55"/>
      <c r="CA82" s="55"/>
      <c r="CB82" s="21">
        <f t="shared" si="145"/>
        <v>0</v>
      </c>
      <c r="CC82" s="54"/>
      <c r="CD82" s="54"/>
      <c r="CE82" s="21">
        <f t="shared" si="146"/>
        <v>0</v>
      </c>
      <c r="CF82" s="21"/>
      <c r="CG82" s="21"/>
      <c r="CH82" s="21">
        <f t="shared" si="122"/>
        <v>0</v>
      </c>
      <c r="CI82" s="25">
        <f t="shared" si="123"/>
        <v>0</v>
      </c>
      <c r="CJ82" s="54"/>
      <c r="CK82" s="21">
        <f t="shared" si="107"/>
        <v>0</v>
      </c>
      <c r="CL82" s="55"/>
      <c r="CM82" s="55"/>
      <c r="CN82" s="60"/>
      <c r="CO82" s="55"/>
      <c r="CP82" s="55"/>
      <c r="CQ82" s="55"/>
      <c r="CR82" s="55"/>
      <c r="CS82" s="55"/>
      <c r="CT82" s="55"/>
      <c r="CU82" s="55"/>
      <c r="CV82" s="55"/>
      <c r="CW82" s="55"/>
      <c r="CX82" s="55"/>
      <c r="CY82" s="21">
        <f t="shared" si="124"/>
        <v>0</v>
      </c>
      <c r="CZ82" s="56"/>
      <c r="DA82" s="56"/>
      <c r="DB82" s="56"/>
      <c r="DC82" s="56"/>
      <c r="DD82" s="61">
        <f t="shared" si="125"/>
        <v>0</v>
      </c>
      <c r="DE82" s="21">
        <f t="shared" si="126"/>
        <v>0</v>
      </c>
      <c r="DF82" s="55">
        <v>22</v>
      </c>
      <c r="DG82" s="55"/>
      <c r="DH82" s="55"/>
      <c r="DI82" s="55"/>
      <c r="DJ82" s="104"/>
      <c r="DK82" s="53"/>
      <c r="DM82" s="58">
        <f t="shared" si="108"/>
        <v>1136.99959296</v>
      </c>
      <c r="DN82" s="58">
        <f t="shared" si="109"/>
        <v>875.9</v>
      </c>
      <c r="DO82" s="21">
        <f t="shared" si="110"/>
        <v>0.77036087385021113</v>
      </c>
      <c r="DP82" s="62">
        <f t="shared" si="127"/>
        <v>1.0291143548767063</v>
      </c>
      <c r="DQ82" s="7">
        <v>0</v>
      </c>
      <c r="DR82" s="107">
        <f t="shared" si="111"/>
        <v>0</v>
      </c>
    </row>
    <row r="83" spans="1:122" ht="12.75" customHeight="1" x14ac:dyDescent="0.2">
      <c r="A83" s="53" t="s">
        <v>244</v>
      </c>
      <c r="B83" s="54">
        <v>1</v>
      </c>
      <c r="C83" s="92">
        <f t="shared" si="114"/>
        <v>120.99948939477149</v>
      </c>
      <c r="D83" s="92">
        <f t="shared" si="115"/>
        <v>115.58417414778772</v>
      </c>
      <c r="E83" s="92">
        <f>VLOOKUP(A83,[3]TRTOTAL!$A$7:$D$313,3,FALSE)</f>
        <v>120.99948939477149</v>
      </c>
      <c r="F83" s="92">
        <f>VLOOKUP(A83,[3]TRTOTAL!$A$7:$D$313,4,FALSE)</f>
        <v>115.58417414778772</v>
      </c>
      <c r="G83" s="92">
        <f t="shared" si="112"/>
        <v>0</v>
      </c>
      <c r="H83" s="92">
        <f t="shared" si="113"/>
        <v>0</v>
      </c>
      <c r="I83" s="54">
        <v>4.74</v>
      </c>
      <c r="J83" s="56">
        <v>4.74</v>
      </c>
      <c r="K83" s="54">
        <v>2</v>
      </c>
      <c r="L83" s="57">
        <v>1</v>
      </c>
      <c r="M83" s="57">
        <v>135</v>
      </c>
      <c r="N83" s="57"/>
      <c r="O83" s="87"/>
      <c r="P83" s="24">
        <f t="shared" si="87"/>
        <v>13.9</v>
      </c>
      <c r="Q83" s="24">
        <f t="shared" si="86"/>
        <v>7.7</v>
      </c>
      <c r="R83" s="24">
        <f t="shared" si="116"/>
        <v>0</v>
      </c>
      <c r="S83" s="87">
        <v>8.1</v>
      </c>
      <c r="T83" s="21">
        <f t="shared" si="88"/>
        <v>0</v>
      </c>
      <c r="U83" s="21"/>
      <c r="V83" s="24">
        <f t="shared" si="117"/>
        <v>2.31</v>
      </c>
      <c r="W83" s="24">
        <f t="shared" si="118"/>
        <v>2.4700000000000002</v>
      </c>
      <c r="X83" s="24">
        <f t="shared" si="89"/>
        <v>2.2783523742398657</v>
      </c>
      <c r="Y83" s="25">
        <f t="shared" si="128"/>
        <v>1</v>
      </c>
      <c r="Z83" s="24">
        <f t="shared" si="119"/>
        <v>11.922734446420668</v>
      </c>
      <c r="AA83" s="21">
        <f t="shared" si="90"/>
        <v>0</v>
      </c>
      <c r="AB83" s="24">
        <f t="shared" si="120"/>
        <v>0</v>
      </c>
      <c r="AC83" s="24">
        <f t="shared" si="142"/>
        <v>14.022734446420667</v>
      </c>
      <c r="AD83" s="58">
        <f t="shared" si="92"/>
        <v>210</v>
      </c>
      <c r="AE83" s="58">
        <f t="shared" si="93"/>
        <v>216</v>
      </c>
      <c r="AF83" s="21">
        <f t="shared" si="94"/>
        <v>2.1</v>
      </c>
      <c r="AG83" s="77">
        <f t="shared" si="95"/>
        <v>0</v>
      </c>
      <c r="AH83" s="114">
        <f t="shared" si="129"/>
        <v>1</v>
      </c>
      <c r="AI83" s="59">
        <f t="shared" si="96"/>
        <v>115.01105294447449</v>
      </c>
      <c r="AJ83" s="59">
        <f t="shared" si="97"/>
        <v>108.7759894399755</v>
      </c>
      <c r="AK83" s="55"/>
      <c r="AL83" s="55"/>
      <c r="AM83" s="21">
        <f t="shared" si="130"/>
        <v>0</v>
      </c>
      <c r="AN83" s="54">
        <v>7.7</v>
      </c>
      <c r="AO83" s="55"/>
      <c r="AP83" s="21">
        <f t="shared" si="131"/>
        <v>0</v>
      </c>
      <c r="AQ83" s="55"/>
      <c r="AR83" s="55"/>
      <c r="AS83" s="21">
        <f t="shared" si="132"/>
        <v>0</v>
      </c>
      <c r="AT83" s="54"/>
      <c r="AU83" s="54"/>
      <c r="AV83" s="21">
        <f t="shared" si="133"/>
        <v>0</v>
      </c>
      <c r="AW83" s="54"/>
      <c r="AX83" s="54"/>
      <c r="AY83" s="21">
        <f t="shared" si="134"/>
        <v>0</v>
      </c>
      <c r="AZ83" s="54"/>
      <c r="BA83" s="54"/>
      <c r="BB83" s="21">
        <f t="shared" si="135"/>
        <v>0</v>
      </c>
      <c r="BC83" s="54"/>
      <c r="BD83" s="54"/>
      <c r="BE83" s="21">
        <f t="shared" si="136"/>
        <v>0</v>
      </c>
      <c r="BF83" s="55"/>
      <c r="BG83" s="55"/>
      <c r="BH83" s="21">
        <f t="shared" si="137"/>
        <v>0</v>
      </c>
      <c r="BI83" s="55"/>
      <c r="BJ83" s="55"/>
      <c r="BK83" s="21">
        <f t="shared" si="138"/>
        <v>0</v>
      </c>
      <c r="BL83" s="55"/>
      <c r="BM83" s="55"/>
      <c r="BN83" s="21">
        <f t="shared" si="139"/>
        <v>0</v>
      </c>
      <c r="BO83" s="55"/>
      <c r="BP83" s="55"/>
      <c r="BQ83" s="21">
        <f t="shared" si="140"/>
        <v>0</v>
      </c>
      <c r="BR83" s="55"/>
      <c r="BS83" s="21">
        <f t="shared" si="141"/>
        <v>0</v>
      </c>
      <c r="BT83" s="56">
        <v>0</v>
      </c>
      <c r="BU83" s="56"/>
      <c r="BV83" s="21">
        <f t="shared" si="143"/>
        <v>0</v>
      </c>
      <c r="BW83" s="77">
        <f t="shared" si="121"/>
        <v>0</v>
      </c>
      <c r="BX83" s="55"/>
      <c r="BY83" s="21">
        <f t="shared" si="144"/>
        <v>0</v>
      </c>
      <c r="BZ83" s="55"/>
      <c r="CA83" s="55"/>
      <c r="CB83" s="21">
        <f t="shared" si="145"/>
        <v>0</v>
      </c>
      <c r="CC83" s="54"/>
      <c r="CD83" s="54"/>
      <c r="CE83" s="21">
        <f t="shared" si="146"/>
        <v>0</v>
      </c>
      <c r="CF83" s="21"/>
      <c r="CG83" s="21"/>
      <c r="CH83" s="21">
        <f t="shared" si="122"/>
        <v>0</v>
      </c>
      <c r="CI83" s="25">
        <f t="shared" si="123"/>
        <v>0</v>
      </c>
      <c r="CJ83" s="54"/>
      <c r="CK83" s="21">
        <f t="shared" si="107"/>
        <v>0</v>
      </c>
      <c r="CL83" s="55"/>
      <c r="CM83" s="55"/>
      <c r="CN83" s="60"/>
      <c r="CO83" s="55"/>
      <c r="CP83" s="55"/>
      <c r="CQ83" s="55"/>
      <c r="CR83" s="55"/>
      <c r="CS83" s="55"/>
      <c r="CT83" s="55"/>
      <c r="CU83" s="55"/>
      <c r="CV83" s="55"/>
      <c r="CW83" s="55"/>
      <c r="CX83" s="55"/>
      <c r="CY83" s="21">
        <f t="shared" si="124"/>
        <v>0</v>
      </c>
      <c r="CZ83" s="56"/>
      <c r="DA83" s="56"/>
      <c r="DB83" s="56"/>
      <c r="DC83" s="56"/>
      <c r="DD83" s="61">
        <f t="shared" si="125"/>
        <v>0</v>
      </c>
      <c r="DE83" s="21">
        <f t="shared" si="126"/>
        <v>0</v>
      </c>
      <c r="DF83" s="55">
        <v>13.9</v>
      </c>
      <c r="DG83" s="55"/>
      <c r="DH83" s="55"/>
      <c r="DI83" s="55"/>
      <c r="DJ83" s="104"/>
      <c r="DK83" s="53"/>
      <c r="DM83" s="58">
        <f t="shared" si="108"/>
        <v>571.08679756799995</v>
      </c>
      <c r="DN83" s="58">
        <f t="shared" si="109"/>
        <v>360</v>
      </c>
      <c r="DO83" s="21">
        <f t="shared" si="110"/>
        <v>0.63037703118523658</v>
      </c>
      <c r="DP83" s="62">
        <f t="shared" si="127"/>
        <v>1.05206835601434</v>
      </c>
      <c r="DQ83" s="7">
        <v>0</v>
      </c>
      <c r="DR83" s="107">
        <f t="shared" si="111"/>
        <v>0</v>
      </c>
    </row>
    <row r="84" spans="1:122" ht="12.75" customHeight="1" x14ac:dyDescent="0.2">
      <c r="A84" s="53" t="s">
        <v>245</v>
      </c>
      <c r="B84" s="54">
        <v>2</v>
      </c>
      <c r="C84" s="92">
        <f t="shared" si="114"/>
        <v>103.73068927410512</v>
      </c>
      <c r="D84" s="92">
        <f t="shared" si="115"/>
        <v>99.293721914752467</v>
      </c>
      <c r="E84" s="92">
        <f>VLOOKUP(A84,[3]TRTOTAL!$A$7:$D$313,3,FALSE)</f>
        <v>103.73068927410512</v>
      </c>
      <c r="F84" s="92">
        <f>VLOOKUP(A84,[3]TRTOTAL!$A$7:$D$313,4,FALSE)</f>
        <v>99.293721914752467</v>
      </c>
      <c r="G84" s="92">
        <f t="shared" si="112"/>
        <v>0</v>
      </c>
      <c r="H84" s="92">
        <f t="shared" si="113"/>
        <v>0</v>
      </c>
      <c r="I84" s="54">
        <v>6.4749999999999996</v>
      </c>
      <c r="J84" s="56">
        <v>6.2549999999999999</v>
      </c>
      <c r="K84" s="54">
        <v>3.05</v>
      </c>
      <c r="L84" s="57">
        <v>2</v>
      </c>
      <c r="M84" s="57"/>
      <c r="N84" s="57">
        <v>220</v>
      </c>
      <c r="O84" s="87" t="s">
        <v>133</v>
      </c>
      <c r="P84" s="24">
        <f t="shared" si="87"/>
        <v>19.501433333333328</v>
      </c>
      <c r="Q84" s="24">
        <f t="shared" si="86"/>
        <v>8.61</v>
      </c>
      <c r="R84" s="24">
        <f t="shared" si="116"/>
        <v>7.4563666666666668</v>
      </c>
      <c r="S84" s="87">
        <v>9</v>
      </c>
      <c r="T84" s="21">
        <f t="shared" si="88"/>
        <v>6.5893999999999995</v>
      </c>
      <c r="U84" s="21"/>
      <c r="V84" s="24">
        <f t="shared" si="117"/>
        <v>2.83</v>
      </c>
      <c r="W84" s="24">
        <f t="shared" si="118"/>
        <v>2.9975000000000001</v>
      </c>
      <c r="X84" s="24">
        <f t="shared" si="89"/>
        <v>2.170441821710845</v>
      </c>
      <c r="Y84" s="25">
        <f t="shared" si="128"/>
        <v>1</v>
      </c>
      <c r="Z84" s="24">
        <f t="shared" si="119"/>
        <v>16.48563879643206</v>
      </c>
      <c r="AA84" s="21">
        <f t="shared" si="90"/>
        <v>1.5689686614482505</v>
      </c>
      <c r="AB84" s="24">
        <f t="shared" si="120"/>
        <v>6.1453133634828108</v>
      </c>
      <c r="AC84" s="24">
        <f t="shared" si="142"/>
        <v>25.582061422662104</v>
      </c>
      <c r="AD84" s="58">
        <f t="shared" si="92"/>
        <v>364</v>
      </c>
      <c r="AE84" s="58">
        <f t="shared" si="93"/>
        <v>370</v>
      </c>
      <c r="AF84" s="21">
        <f t="shared" si="94"/>
        <v>3.75</v>
      </c>
      <c r="AG84" s="77">
        <f t="shared" si="95"/>
        <v>0</v>
      </c>
      <c r="AH84" s="114">
        <f t="shared" si="129"/>
        <v>1.04</v>
      </c>
      <c r="AI84" s="59">
        <f t="shared" si="96"/>
        <v>101.84603448109004</v>
      </c>
      <c r="AJ84" s="59">
        <f t="shared" si="97"/>
        <v>97.489681179725181</v>
      </c>
      <c r="AK84" s="55">
        <v>8.61</v>
      </c>
      <c r="AL84" s="55">
        <v>2.83</v>
      </c>
      <c r="AM84" s="21">
        <f t="shared" si="130"/>
        <v>12.183149999999999</v>
      </c>
      <c r="AN84" s="54">
        <v>8.61</v>
      </c>
      <c r="AO84" s="55">
        <v>0.14000000000000001</v>
      </c>
      <c r="AP84" s="21">
        <f t="shared" si="131"/>
        <v>0.80359999999999998</v>
      </c>
      <c r="AQ84" s="55"/>
      <c r="AR84" s="55"/>
      <c r="AS84" s="21">
        <f t="shared" si="132"/>
        <v>0</v>
      </c>
      <c r="AT84" s="54">
        <v>8.4</v>
      </c>
      <c r="AU84" s="54">
        <v>0.94</v>
      </c>
      <c r="AV84" s="21">
        <f t="shared" si="133"/>
        <v>3.948</v>
      </c>
      <c r="AW84" s="54">
        <v>3</v>
      </c>
      <c r="AX84" s="54">
        <v>0.18</v>
      </c>
      <c r="AY84" s="21">
        <f t="shared" si="134"/>
        <v>0.27</v>
      </c>
      <c r="AZ84" s="54">
        <v>5.63</v>
      </c>
      <c r="BA84" s="54">
        <v>0.19</v>
      </c>
      <c r="BB84" s="21">
        <f t="shared" si="135"/>
        <v>0.7131333333333334</v>
      </c>
      <c r="BC84" s="54"/>
      <c r="BD84" s="54"/>
      <c r="BE84" s="21">
        <f t="shared" si="136"/>
        <v>0</v>
      </c>
      <c r="BF84" s="55">
        <v>1.69</v>
      </c>
      <c r="BG84" s="55">
        <v>0.09</v>
      </c>
      <c r="BH84" s="21">
        <f t="shared" si="137"/>
        <v>7.6049999999999993E-2</v>
      </c>
      <c r="BI84" s="55"/>
      <c r="BJ84" s="55"/>
      <c r="BK84" s="21">
        <f t="shared" si="138"/>
        <v>0</v>
      </c>
      <c r="BL84" s="55"/>
      <c r="BM84" s="55"/>
      <c r="BN84" s="21">
        <f t="shared" si="139"/>
        <v>0</v>
      </c>
      <c r="BO84" s="55"/>
      <c r="BP84" s="55"/>
      <c r="BQ84" s="21">
        <f t="shared" si="140"/>
        <v>0</v>
      </c>
      <c r="BR84" s="55"/>
      <c r="BS84" s="21">
        <f t="shared" si="141"/>
        <v>17.993933333333327</v>
      </c>
      <c r="BT84" s="56">
        <v>7.01</v>
      </c>
      <c r="BU84" s="56">
        <v>2.1800000000000002</v>
      </c>
      <c r="BV84" s="21">
        <f t="shared" si="143"/>
        <v>7.6409000000000002</v>
      </c>
      <c r="BW84" s="77">
        <f t="shared" si="121"/>
        <v>7.01</v>
      </c>
      <c r="BX84" s="55">
        <v>0.03</v>
      </c>
      <c r="BY84" s="21">
        <f t="shared" si="144"/>
        <v>0.14019999999999999</v>
      </c>
      <c r="BZ84" s="55">
        <v>6</v>
      </c>
      <c r="CA84" s="55">
        <v>-0.11</v>
      </c>
      <c r="CB84" s="21">
        <f t="shared" si="145"/>
        <v>-0.44</v>
      </c>
      <c r="CC84" s="55">
        <v>2.4700000000000002</v>
      </c>
      <c r="CD84" s="55">
        <v>7.0000000000000007E-2</v>
      </c>
      <c r="CE84" s="21">
        <f t="shared" si="146"/>
        <v>0.11526666666666668</v>
      </c>
      <c r="CF84" s="21"/>
      <c r="CG84" s="21"/>
      <c r="CH84" s="21">
        <f t="shared" si="122"/>
        <v>0</v>
      </c>
      <c r="CI84" s="25">
        <f t="shared" si="123"/>
        <v>7.4563666666666668</v>
      </c>
      <c r="CJ84" s="54">
        <v>0.33500000000000002</v>
      </c>
      <c r="CK84" s="21">
        <f t="shared" si="107"/>
        <v>1.5075000000000001</v>
      </c>
      <c r="CL84" s="55"/>
      <c r="CM84" s="55"/>
      <c r="CN84" s="60">
        <v>37421</v>
      </c>
      <c r="CO84" s="55" t="s">
        <v>164</v>
      </c>
      <c r="CP84" s="55"/>
      <c r="CQ84" s="55"/>
      <c r="CR84" s="55"/>
      <c r="CS84" s="55"/>
      <c r="CT84" s="55"/>
      <c r="CU84" s="55"/>
      <c r="CV84" s="55"/>
      <c r="CW84" s="55"/>
      <c r="CX84" s="55"/>
      <c r="CY84" s="21">
        <f t="shared" si="124"/>
        <v>0</v>
      </c>
      <c r="CZ84" s="56"/>
      <c r="DA84" s="56"/>
      <c r="DB84" s="56"/>
      <c r="DC84" s="56">
        <f>IF(CY84,CY84*(CZ84+DA84)/4+(DB84-CY84/2)*(CZ84+DA84)/3,0)</f>
        <v>0</v>
      </c>
      <c r="DD84" s="61">
        <f t="shared" si="125"/>
        <v>0</v>
      </c>
      <c r="DE84" s="21">
        <f t="shared" si="126"/>
        <v>0</v>
      </c>
      <c r="DF84" s="55"/>
      <c r="DG84" s="55"/>
      <c r="DH84" s="55"/>
      <c r="DI84" s="55"/>
      <c r="DJ84" s="104"/>
      <c r="DK84" s="53"/>
      <c r="DM84" s="58">
        <f t="shared" si="108"/>
        <v>1103.2382336433932</v>
      </c>
      <c r="DN84" s="58">
        <f t="shared" si="109"/>
        <v>933.84999999999991</v>
      </c>
      <c r="DO84" s="21">
        <f t="shared" si="110"/>
        <v>0.8464626873164135</v>
      </c>
      <c r="DP84" s="62">
        <f t="shared" si="127"/>
        <v>1.0185049403505739</v>
      </c>
      <c r="DQ84" s="7">
        <v>0</v>
      </c>
      <c r="DR84" s="107">
        <f t="shared" si="111"/>
        <v>0</v>
      </c>
    </row>
    <row r="85" spans="1:122" ht="12.75" customHeight="1" x14ac:dyDescent="0.2">
      <c r="A85" s="53" t="s">
        <v>246</v>
      </c>
      <c r="B85" s="54">
        <v>2</v>
      </c>
      <c r="C85" s="92">
        <f t="shared" si="114"/>
        <v>118.14472404463447</v>
      </c>
      <c r="D85" s="92">
        <f t="shared" si="115"/>
        <v>112.57580445580662</v>
      </c>
      <c r="E85" s="92">
        <f>VLOOKUP(A85,[3]TRTOTAL!$A$7:$D$313,3,FALSE)</f>
        <v>118.14472404463447</v>
      </c>
      <c r="F85" s="92">
        <f>VLOOKUP(A85,[3]TRTOTAL!$A$7:$D$313,4,FALSE)</f>
        <v>112.57580445580662</v>
      </c>
      <c r="G85" s="92">
        <f t="shared" si="112"/>
        <v>0</v>
      </c>
      <c r="H85" s="92">
        <f t="shared" si="113"/>
        <v>0</v>
      </c>
      <c r="I85" s="54">
        <v>5</v>
      </c>
      <c r="J85" s="56">
        <v>4.8</v>
      </c>
      <c r="K85" s="54">
        <v>2.5</v>
      </c>
      <c r="L85" s="57">
        <v>2</v>
      </c>
      <c r="M85" s="57">
        <v>170</v>
      </c>
      <c r="N85" s="57"/>
      <c r="O85" s="87" t="s">
        <v>133</v>
      </c>
      <c r="P85" s="24">
        <f t="shared" si="87"/>
        <v>13.99</v>
      </c>
      <c r="Q85" s="24">
        <f t="shared" si="86"/>
        <v>7.6</v>
      </c>
      <c r="R85" s="24">
        <f t="shared" si="116"/>
        <v>5.6</v>
      </c>
      <c r="S85" s="87">
        <v>8</v>
      </c>
      <c r="T85" s="21">
        <f t="shared" si="88"/>
        <v>5.3</v>
      </c>
      <c r="U85" s="21"/>
      <c r="V85" s="24">
        <f t="shared" si="117"/>
        <v>2.2799999999999998</v>
      </c>
      <c r="W85" s="24">
        <f t="shared" si="118"/>
        <v>2.44</v>
      </c>
      <c r="X85" s="24">
        <f t="shared" si="89"/>
        <v>2.3498387530233811</v>
      </c>
      <c r="Y85" s="25">
        <f t="shared" si="128"/>
        <v>1</v>
      </c>
      <c r="Z85" s="24">
        <f t="shared" si="119"/>
        <v>12.111667389732288</v>
      </c>
      <c r="AA85" s="21">
        <f t="shared" si="90"/>
        <v>0</v>
      </c>
      <c r="AB85" s="24">
        <f t="shared" si="120"/>
        <v>5.04</v>
      </c>
      <c r="AC85" s="24">
        <f t="shared" si="142"/>
        <v>19.646467389732287</v>
      </c>
      <c r="AD85" s="58">
        <f t="shared" si="92"/>
        <v>320</v>
      </c>
      <c r="AE85" s="58">
        <f t="shared" si="93"/>
        <v>326</v>
      </c>
      <c r="AF85" s="21">
        <f t="shared" si="94"/>
        <v>3.15</v>
      </c>
      <c r="AG85" s="77">
        <f t="shared" si="95"/>
        <v>0</v>
      </c>
      <c r="AH85" s="114">
        <f t="shared" si="129"/>
        <v>1.04</v>
      </c>
      <c r="AI85" s="59">
        <f t="shared" si="96"/>
        <v>118.14472404463447</v>
      </c>
      <c r="AJ85" s="59">
        <f t="shared" si="97"/>
        <v>112.57580445580662</v>
      </c>
      <c r="AK85" s="55"/>
      <c r="AL85" s="55"/>
      <c r="AM85" s="21">
        <f t="shared" si="130"/>
        <v>0</v>
      </c>
      <c r="AN85" s="54">
        <v>7.6</v>
      </c>
      <c r="AO85" s="55"/>
      <c r="AP85" s="21">
        <f t="shared" si="131"/>
        <v>0</v>
      </c>
      <c r="AQ85" s="55"/>
      <c r="AR85" s="55"/>
      <c r="AS85" s="21">
        <f t="shared" si="132"/>
        <v>0</v>
      </c>
      <c r="AT85" s="54"/>
      <c r="AU85" s="54"/>
      <c r="AV85" s="21">
        <f t="shared" si="133"/>
        <v>0</v>
      </c>
      <c r="AW85" s="54"/>
      <c r="AX85" s="54"/>
      <c r="AY85" s="21">
        <f t="shared" si="134"/>
        <v>0</v>
      </c>
      <c r="AZ85" s="54"/>
      <c r="BA85" s="54"/>
      <c r="BB85" s="21">
        <f t="shared" si="135"/>
        <v>0</v>
      </c>
      <c r="BC85" s="54"/>
      <c r="BD85" s="54"/>
      <c r="BE85" s="21">
        <f t="shared" si="136"/>
        <v>0</v>
      </c>
      <c r="BF85" s="55"/>
      <c r="BG85" s="55"/>
      <c r="BH85" s="21">
        <f t="shared" si="137"/>
        <v>0</v>
      </c>
      <c r="BI85" s="55"/>
      <c r="BJ85" s="55"/>
      <c r="BK85" s="21">
        <f t="shared" si="138"/>
        <v>0</v>
      </c>
      <c r="BL85" s="55"/>
      <c r="BM85" s="55"/>
      <c r="BN85" s="21">
        <f t="shared" si="139"/>
        <v>0</v>
      </c>
      <c r="BO85" s="55"/>
      <c r="BP85" s="55"/>
      <c r="BQ85" s="21">
        <f t="shared" si="140"/>
        <v>0</v>
      </c>
      <c r="BR85" s="55"/>
      <c r="BS85" s="21">
        <f t="shared" si="141"/>
        <v>0</v>
      </c>
      <c r="BT85" s="56">
        <v>0</v>
      </c>
      <c r="BU85" s="56"/>
      <c r="BV85" s="21">
        <f t="shared" si="143"/>
        <v>0</v>
      </c>
      <c r="BW85" s="77">
        <f t="shared" si="121"/>
        <v>0</v>
      </c>
      <c r="BX85" s="55"/>
      <c r="BY85" s="21">
        <f t="shared" si="144"/>
        <v>0</v>
      </c>
      <c r="BZ85" s="55"/>
      <c r="CA85" s="55"/>
      <c r="CB85" s="21">
        <f t="shared" si="145"/>
        <v>0</v>
      </c>
      <c r="CC85" s="54"/>
      <c r="CD85" s="54"/>
      <c r="CE85" s="21">
        <f t="shared" si="146"/>
        <v>0</v>
      </c>
      <c r="CF85" s="21"/>
      <c r="CG85" s="21"/>
      <c r="CH85" s="21">
        <f t="shared" si="122"/>
        <v>0</v>
      </c>
      <c r="CI85" s="25">
        <f t="shared" si="123"/>
        <v>5.6</v>
      </c>
      <c r="CJ85" s="54"/>
      <c r="CK85" s="21">
        <f t="shared" si="107"/>
        <v>0</v>
      </c>
      <c r="CL85" s="55"/>
      <c r="CM85" s="55"/>
      <c r="CN85" s="60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21">
        <f t="shared" si="124"/>
        <v>0</v>
      </c>
      <c r="CZ85" s="56"/>
      <c r="DA85" s="56"/>
      <c r="DB85" s="56"/>
      <c r="DC85" s="56"/>
      <c r="DD85" s="61">
        <f t="shared" si="125"/>
        <v>0</v>
      </c>
      <c r="DE85" s="21">
        <f t="shared" si="126"/>
        <v>0</v>
      </c>
      <c r="DF85" s="55">
        <v>13.99</v>
      </c>
      <c r="DG85" s="55">
        <v>5.6</v>
      </c>
      <c r="DH85" s="55">
        <v>5.3</v>
      </c>
      <c r="DI85" s="55"/>
      <c r="DJ85" s="104"/>
      <c r="DK85" s="53"/>
      <c r="DM85" s="58">
        <f t="shared" si="108"/>
        <v>718.46512496639991</v>
      </c>
      <c r="DN85" s="58">
        <f t="shared" si="109"/>
        <v>737.5</v>
      </c>
      <c r="DO85" s="21">
        <f t="shared" si="110"/>
        <v>1.0264938051578916</v>
      </c>
      <c r="DP85" s="62">
        <f t="shared" si="127"/>
        <v>1</v>
      </c>
      <c r="DQ85" s="7">
        <v>0</v>
      </c>
      <c r="DR85" s="107">
        <f t="shared" si="111"/>
        <v>0</v>
      </c>
    </row>
    <row r="86" spans="1:122" ht="12.75" customHeight="1" x14ac:dyDescent="0.2">
      <c r="A86" s="53" t="s">
        <v>247</v>
      </c>
      <c r="B86" s="54">
        <v>2</v>
      </c>
      <c r="C86" s="92">
        <f t="shared" si="114"/>
        <v>110.59843169716072</v>
      </c>
      <c r="D86" s="92">
        <f t="shared" si="115"/>
        <v>106.28118305186025</v>
      </c>
      <c r="E86" s="92">
        <f>VLOOKUP(A86,[3]TRTOTAL!$A$7:$D$313,3,FALSE)</f>
        <v>110.59843169716072</v>
      </c>
      <c r="F86" s="92">
        <f>VLOOKUP(A86,[3]TRTOTAL!$A$7:$D$313,4,FALSE)</f>
        <v>106.28118305186025</v>
      </c>
      <c r="G86" s="92">
        <f t="shared" si="112"/>
        <v>0</v>
      </c>
      <c r="H86" s="92">
        <f t="shared" si="113"/>
        <v>0</v>
      </c>
      <c r="I86" s="54">
        <v>5.7</v>
      </c>
      <c r="J86" s="56">
        <v>5.5</v>
      </c>
      <c r="K86" s="54">
        <v>2.5</v>
      </c>
      <c r="L86" s="57">
        <v>2</v>
      </c>
      <c r="M86" s="57">
        <v>186</v>
      </c>
      <c r="N86" s="57"/>
      <c r="O86" s="87" t="s">
        <v>133</v>
      </c>
      <c r="P86" s="24">
        <f t="shared" si="87"/>
        <v>15.3</v>
      </c>
      <c r="Q86" s="24">
        <f t="shared" si="86"/>
        <v>8.68</v>
      </c>
      <c r="R86" s="24">
        <f t="shared" si="116"/>
        <v>6.5</v>
      </c>
      <c r="S86" s="87">
        <v>9.1</v>
      </c>
      <c r="T86" s="21">
        <f t="shared" si="88"/>
        <v>6.1</v>
      </c>
      <c r="U86" s="21">
        <v>2.1800000000000002</v>
      </c>
      <c r="V86" s="24">
        <f t="shared" si="117"/>
        <v>2.1800000000000002</v>
      </c>
      <c r="W86" s="24">
        <f t="shared" si="118"/>
        <v>2.3400000000000003</v>
      </c>
      <c r="X86" s="24">
        <f t="shared" si="89"/>
        <v>2.7942143326758702</v>
      </c>
      <c r="Y86" s="25">
        <f t="shared" si="128"/>
        <v>1</v>
      </c>
      <c r="Z86" s="24">
        <f t="shared" si="119"/>
        <v>13.952246750729879</v>
      </c>
      <c r="AA86" s="21">
        <f t="shared" si="90"/>
        <v>0</v>
      </c>
      <c r="AB86" s="24">
        <f t="shared" si="120"/>
        <v>5.8500000000000005</v>
      </c>
      <c r="AC86" s="24">
        <f t="shared" si="142"/>
        <v>22.191746750729877</v>
      </c>
      <c r="AD86" s="58">
        <f t="shared" si="92"/>
        <v>336</v>
      </c>
      <c r="AE86" s="58">
        <f t="shared" si="93"/>
        <v>342</v>
      </c>
      <c r="AF86" s="21">
        <f t="shared" si="94"/>
        <v>3.15</v>
      </c>
      <c r="AG86" s="77">
        <f t="shared" si="95"/>
        <v>0</v>
      </c>
      <c r="AH86" s="114">
        <f t="shared" si="129"/>
        <v>1.04</v>
      </c>
      <c r="AI86" s="59">
        <f t="shared" si="96"/>
        <v>108.79305445712643</v>
      </c>
      <c r="AJ86" s="59">
        <f t="shared" si="97"/>
        <v>104.54627934679559</v>
      </c>
      <c r="AK86" s="55"/>
      <c r="AL86" s="55"/>
      <c r="AM86" s="21">
        <f t="shared" si="130"/>
        <v>0</v>
      </c>
      <c r="AN86" s="54">
        <v>8.68</v>
      </c>
      <c r="AO86" s="55"/>
      <c r="AP86" s="21">
        <f t="shared" si="131"/>
        <v>0</v>
      </c>
      <c r="AQ86" s="55"/>
      <c r="AR86" s="55"/>
      <c r="AS86" s="21">
        <f t="shared" si="132"/>
        <v>0</v>
      </c>
      <c r="AT86" s="54"/>
      <c r="AU86" s="54"/>
      <c r="AV86" s="21">
        <f t="shared" si="133"/>
        <v>0</v>
      </c>
      <c r="AW86" s="54"/>
      <c r="AX86" s="54"/>
      <c r="AY86" s="21">
        <f t="shared" si="134"/>
        <v>0</v>
      </c>
      <c r="AZ86" s="54"/>
      <c r="BA86" s="54"/>
      <c r="BB86" s="21">
        <f t="shared" si="135"/>
        <v>0</v>
      </c>
      <c r="BC86" s="54"/>
      <c r="BD86" s="54"/>
      <c r="BE86" s="21">
        <f t="shared" si="136"/>
        <v>0</v>
      </c>
      <c r="BF86" s="55"/>
      <c r="BG86" s="55"/>
      <c r="BH86" s="21">
        <f t="shared" si="137"/>
        <v>0</v>
      </c>
      <c r="BI86" s="55"/>
      <c r="BJ86" s="55"/>
      <c r="BK86" s="21">
        <f t="shared" si="138"/>
        <v>0</v>
      </c>
      <c r="BL86" s="55"/>
      <c r="BM86" s="55"/>
      <c r="BN86" s="21">
        <f t="shared" si="139"/>
        <v>0</v>
      </c>
      <c r="BO86" s="55"/>
      <c r="BP86" s="55"/>
      <c r="BQ86" s="21">
        <f t="shared" si="140"/>
        <v>0</v>
      </c>
      <c r="BR86" s="55"/>
      <c r="BS86" s="21">
        <f t="shared" si="141"/>
        <v>0</v>
      </c>
      <c r="BT86" s="56">
        <v>0</v>
      </c>
      <c r="BU86" s="56"/>
      <c r="BV86" s="21">
        <f t="shared" si="143"/>
        <v>0</v>
      </c>
      <c r="BW86" s="77">
        <f t="shared" si="121"/>
        <v>0</v>
      </c>
      <c r="BX86" s="55"/>
      <c r="BY86" s="21">
        <f t="shared" si="144"/>
        <v>0</v>
      </c>
      <c r="BZ86" s="55"/>
      <c r="CA86" s="55"/>
      <c r="CB86" s="21">
        <f t="shared" si="145"/>
        <v>0</v>
      </c>
      <c r="CC86" s="55"/>
      <c r="CD86" s="55"/>
      <c r="CE86" s="21">
        <f t="shared" si="146"/>
        <v>0</v>
      </c>
      <c r="CF86" s="21"/>
      <c r="CG86" s="21"/>
      <c r="CH86" s="21">
        <f t="shared" si="122"/>
        <v>0</v>
      </c>
      <c r="CI86" s="25">
        <f t="shared" si="123"/>
        <v>6.5</v>
      </c>
      <c r="CJ86" s="54"/>
      <c r="CK86" s="21">
        <f t="shared" si="107"/>
        <v>0</v>
      </c>
      <c r="CL86" s="55"/>
      <c r="CM86" s="55"/>
      <c r="CN86" s="60"/>
      <c r="CO86" s="55"/>
      <c r="CP86" s="55"/>
      <c r="CQ86" s="55"/>
      <c r="CR86" s="55"/>
      <c r="CS86" s="55"/>
      <c r="CT86" s="55"/>
      <c r="CU86" s="55"/>
      <c r="CV86" s="55"/>
      <c r="CW86" s="55"/>
      <c r="CX86" s="55"/>
      <c r="CY86" s="21">
        <f t="shared" si="124"/>
        <v>0</v>
      </c>
      <c r="CZ86" s="56"/>
      <c r="DA86" s="56"/>
      <c r="DB86" s="56"/>
      <c r="DC86" s="56"/>
      <c r="DD86" s="61">
        <f t="shared" si="125"/>
        <v>0</v>
      </c>
      <c r="DE86" s="21">
        <f t="shared" si="126"/>
        <v>0</v>
      </c>
      <c r="DF86" s="55">
        <v>15.3</v>
      </c>
      <c r="DG86" s="55">
        <v>6.5</v>
      </c>
      <c r="DH86" s="55">
        <v>6.1</v>
      </c>
      <c r="DI86" s="55"/>
      <c r="DJ86" s="104"/>
      <c r="DK86" s="53"/>
      <c r="DM86" s="58">
        <f t="shared" si="108"/>
        <v>879.75678282239994</v>
      </c>
      <c r="DN86" s="58">
        <f t="shared" si="109"/>
        <v>757.5</v>
      </c>
      <c r="DO86" s="21">
        <f t="shared" si="110"/>
        <v>0.86103342968248486</v>
      </c>
      <c r="DP86" s="62">
        <f t="shared" si="127"/>
        <v>1.0165946001704158</v>
      </c>
      <c r="DQ86" s="7">
        <v>0</v>
      </c>
      <c r="DR86" s="107">
        <f t="shared" si="111"/>
        <v>0</v>
      </c>
    </row>
    <row r="87" spans="1:122" ht="12.75" customHeight="1" x14ac:dyDescent="0.2">
      <c r="A87" s="53" t="s">
        <v>569</v>
      </c>
      <c r="B87" s="54">
        <v>2</v>
      </c>
      <c r="C87" s="92">
        <f t="shared" si="114"/>
        <v>106.79148956323066</v>
      </c>
      <c r="D87" s="92">
        <f t="shared" si="115"/>
        <v>102.57000160748831</v>
      </c>
      <c r="E87" s="92">
        <f>VLOOKUP(A87,[3]TRTOTAL!$A$7:$D$313,3,FALSE)</f>
        <v>108.12273213856864</v>
      </c>
      <c r="F87" s="92">
        <f>VLOOKUP(A87,[3]TRTOTAL!$A$7:$D$313,4,FALSE)</f>
        <v>103.72235949726108</v>
      </c>
      <c r="G87" s="92"/>
      <c r="H87" s="92"/>
      <c r="I87" s="54">
        <v>5.7</v>
      </c>
      <c r="J87" s="56">
        <v>5</v>
      </c>
      <c r="K87" s="54">
        <v>2.5</v>
      </c>
      <c r="L87" s="57">
        <v>2</v>
      </c>
      <c r="M87" s="57"/>
      <c r="N87" s="57">
        <v>123</v>
      </c>
      <c r="O87" s="87"/>
      <c r="P87" s="24">
        <f t="shared" si="87"/>
        <v>15</v>
      </c>
      <c r="Q87" s="24">
        <f>voorvlm1+voorllm2</f>
        <v>8.48</v>
      </c>
      <c r="R87" s="24">
        <f t="shared" si="116"/>
        <v>3.7</v>
      </c>
      <c r="S87" s="87">
        <v>8.5</v>
      </c>
      <c r="T87" s="21">
        <f>IF(gs_1,gs_1*0.94,VlgNoDetails)</f>
        <v>5.64</v>
      </c>
      <c r="U87" s="108"/>
      <c r="V87" s="24">
        <f t="shared" si="117"/>
        <v>2.06</v>
      </c>
      <c r="W87" s="24">
        <f>IF(circMast,circMast/2,0.16)+V87</f>
        <v>2.2200000000000002</v>
      </c>
      <c r="X87" s="24">
        <f>msam/e^2</f>
        <v>3.0435841246652053</v>
      </c>
      <c r="Y87" s="25">
        <f t="shared" si="128"/>
        <v>1</v>
      </c>
      <c r="Z87" s="24">
        <f>0.67*X87^0.3*msam*Y87</f>
        <v>14.034005900949326</v>
      </c>
      <c r="AA87" s="21">
        <f>IF(lpg,msag/lpg^2,0)</f>
        <v>0</v>
      </c>
      <c r="AB87" s="24">
        <f>IF(AA87,0.72*AA87^0.3*msag,IF(msag,0.9*msag,0))</f>
        <v>3.33</v>
      </c>
      <c r="AC87" s="24">
        <f>rsam+rsag+IF(rsascr,rsascr-jibred*rsag,rsas-jibred*rsag)</f>
        <v>19.556105900949326</v>
      </c>
      <c r="AD87" s="58">
        <f>IF(wsex,wsex,wsin-6)+crew*(IF(AND(crew=1,msam+msag&gt;=11),75,IF(loa&lt;=4,65,IF(loa&lt;=4.8,70,75))))</f>
        <v>267</v>
      </c>
      <c r="AE87" s="58">
        <f>IF(wsin,wsin,wsex+6)+crew*(IF(AND(crew=1,msam+msag&gt;=11),75,IF(loa&lt;=4,65,IF(loa&lt;=4.8,70,75))))</f>
        <v>273</v>
      </c>
      <c r="AF87" s="21">
        <f>IF(sas,((sas)*0.15),IF(loa&lt;=4.87,IF(crew=1,14*0.15,17*0.15),IF(loa&lt;=5.8,IF(crew=1,17*0.15,21*0.15),IF(loa&lt;=6.71,IF(crew=1,20*0.15,25*0.15),0))))</f>
        <v>2.625</v>
      </c>
      <c r="AG87" s="77">
        <f>IF(AND(ars&lt;0.75*(AND(ars&gt;0)),(sas/msam&gt;0.75)),(sas*(12/ars^1.1)*0.01),0)</f>
        <v>0</v>
      </c>
      <c r="AH87" s="114">
        <f t="shared" si="129"/>
        <v>1</v>
      </c>
      <c r="AI87" s="59">
        <f>100/(1.15*rl^0.3*(rsam+rsag)^0.4/rwex^0.325)*corcb</f>
        <v>105.28520531670198</v>
      </c>
      <c r="AJ87" s="59">
        <f>100/(1.15*rl^0.3*rsa^0.4/rwin^0.325)*corcb</f>
        <v>101.12326106458856</v>
      </c>
      <c r="AK87" s="55"/>
      <c r="AL87" s="55">
        <v>2.06</v>
      </c>
      <c r="AM87" s="21">
        <f>AK87*AL87*0.5</f>
        <v>0</v>
      </c>
      <c r="AN87" s="55">
        <v>8.48</v>
      </c>
      <c r="AO87" s="55"/>
      <c r="AP87" s="21">
        <f>AN87*AO87*2/3</f>
        <v>0</v>
      </c>
      <c r="AQ87" s="55"/>
      <c r="AR87" s="55">
        <v>0</v>
      </c>
      <c r="AS87" s="21">
        <f>AQ87*AR87*2/3</f>
        <v>0</v>
      </c>
      <c r="AT87" s="54"/>
      <c r="AU87" s="54"/>
      <c r="AV87" s="21">
        <f>AT87*AU87*0.5</f>
        <v>0</v>
      </c>
      <c r="AW87" s="54"/>
      <c r="AX87" s="54"/>
      <c r="AY87" s="21">
        <f>AW87*AX87*0.5</f>
        <v>0</v>
      </c>
      <c r="AZ87" s="54"/>
      <c r="BA87" s="54"/>
      <c r="BB87" s="21">
        <f>AZ87*BA87*2/3</f>
        <v>0</v>
      </c>
      <c r="BC87" s="54"/>
      <c r="BD87" s="54"/>
      <c r="BE87" s="21">
        <f>BC87*BD87*2/3</f>
        <v>0</v>
      </c>
      <c r="BF87" s="55"/>
      <c r="BG87" s="55"/>
      <c r="BH87" s="21">
        <f>BF87*BG87*0.5</f>
        <v>0</v>
      </c>
      <c r="BI87" s="55"/>
      <c r="BJ87" s="55"/>
      <c r="BK87" s="21">
        <f>BI87*BJ87*2/3</f>
        <v>0</v>
      </c>
      <c r="BL87" s="55"/>
      <c r="BM87" s="55"/>
      <c r="BN87" s="21">
        <f>BL87*BM87*0.5</f>
        <v>0</v>
      </c>
      <c r="BO87" s="55"/>
      <c r="BP87" s="55"/>
      <c r="BQ87" s="21">
        <f>BO87*BP87*0.5</f>
        <v>0</v>
      </c>
      <c r="BR87" s="55"/>
      <c r="BS87" s="21">
        <f>AM87+AP87+AS87+AV87+AY87+BB87+BE87+BH87+BK87+BN87+BQ87</f>
        <v>0</v>
      </c>
      <c r="BT87" s="56">
        <v>0</v>
      </c>
      <c r="BU87" s="56"/>
      <c r="BV87" s="21">
        <f>BT87*BU87*0.5</f>
        <v>0</v>
      </c>
      <c r="BW87" s="77">
        <f>BT87-CF87</f>
        <v>0</v>
      </c>
      <c r="BX87" s="55"/>
      <c r="BY87" s="21">
        <f>BW87*BX87*2/3</f>
        <v>0</v>
      </c>
      <c r="BZ87" s="55"/>
      <c r="CA87" s="55"/>
      <c r="CB87" s="21">
        <f>BZ87*CA87*2/3</f>
        <v>0</v>
      </c>
      <c r="CC87" s="54"/>
      <c r="CD87" s="54"/>
      <c r="CE87" s="21">
        <f>CC87*CD87*2/3</f>
        <v>0</v>
      </c>
      <c r="CF87" s="21"/>
      <c r="CG87" s="21"/>
      <c r="CH87" s="21">
        <f>CF87*CG87*0.5</f>
        <v>0</v>
      </c>
      <c r="CI87" s="25">
        <f>BV87+BY87+CB87+CE87+CH87+DG87</f>
        <v>3.7</v>
      </c>
      <c r="CJ87" s="54"/>
      <c r="CK87" s="21">
        <f>MastLength*circMast*0.5</f>
        <v>0</v>
      </c>
      <c r="CL87" s="55"/>
      <c r="CM87" s="55"/>
      <c r="CN87" s="60"/>
      <c r="CO87" s="55"/>
      <c r="CP87" s="55"/>
      <c r="CQ87" s="55"/>
      <c r="CR87" s="55"/>
      <c r="CS87" s="55"/>
      <c r="CT87" s="55"/>
      <c r="CU87" s="55"/>
      <c r="CV87" s="55"/>
      <c r="CW87" s="55"/>
      <c r="CX87" s="55"/>
      <c r="CY87" s="21">
        <f>(CT87+4*CU87+2*CV87+4*CW87+CX87)*AN87/12</f>
        <v>0</v>
      </c>
      <c r="CZ87" s="56"/>
      <c r="DA87" s="56"/>
      <c r="DB87" s="56"/>
      <c r="DC87" s="56"/>
      <c r="DD87" s="61">
        <f>IF(CZ87,DC87/CZ87,smg_sf_no_details)</f>
        <v>0</v>
      </c>
      <c r="DE87" s="21">
        <f>IF(CZ87,CZ87*(DA87+DB87)/4+(DC87-CZ87/2)*(DA87+DB87)/3,sas_no_details)</f>
        <v>17.5</v>
      </c>
      <c r="DF87" s="55">
        <v>15</v>
      </c>
      <c r="DG87" s="55">
        <v>3.7</v>
      </c>
      <c r="DH87" s="55">
        <v>5.64</v>
      </c>
      <c r="DI87" s="55">
        <v>17.5</v>
      </c>
      <c r="DJ87" s="104"/>
      <c r="DK87" s="53" t="s">
        <v>129</v>
      </c>
      <c r="DM87" s="58">
        <f t="shared" si="108"/>
        <v>763.78092241919978</v>
      </c>
      <c r="DN87" s="58">
        <f>IF(wsex,0.5*wsex*width+(rwex-wsex)*width+trapeze*(rwex-wsex)/crew,0.5*(wsin-6)*width+(rwin-wsin)*width+trapeze*(rwin-wsin)/crew)</f>
        <v>671.25</v>
      </c>
      <c r="DO87" s="21">
        <f>righting/heeling</f>
        <v>0.8788514877720206</v>
      </c>
      <c r="DP87" s="62">
        <f t="shared" si="127"/>
        <v>1.014306703795635</v>
      </c>
      <c r="DQ87" s="7" t="s">
        <v>130</v>
      </c>
      <c r="DR87" s="107" t="str">
        <f t="shared" si="111"/>
        <v>yes</v>
      </c>
    </row>
    <row r="88" spans="1:122" ht="12.75" customHeight="1" x14ac:dyDescent="0.2">
      <c r="A88" s="53" t="s">
        <v>568</v>
      </c>
      <c r="B88" s="54">
        <v>2</v>
      </c>
      <c r="C88" s="92">
        <f t="shared" si="114"/>
        <v>104.11503320253368</v>
      </c>
      <c r="D88" s="92">
        <f t="shared" si="115"/>
        <v>99.933704102960263</v>
      </c>
      <c r="E88" s="92">
        <f>VLOOKUP(A88,[3]TRTOTAL!$A$7:$D$313,3,FALSE)</f>
        <v>104.70712459267484</v>
      </c>
      <c r="F88" s="92">
        <f>VLOOKUP(A88,[3]TRTOTAL!$A$7:$D$313,4,FALSE)</f>
        <v>100.5919016460321</v>
      </c>
      <c r="G88" s="92">
        <f t="shared" si="112"/>
        <v>-0.59209139014116374</v>
      </c>
      <c r="H88" s="92">
        <f t="shared" si="113"/>
        <v>-0.65819754307183587</v>
      </c>
      <c r="I88" s="54">
        <v>5</v>
      </c>
      <c r="J88" s="56">
        <v>5</v>
      </c>
      <c r="K88" s="54">
        <v>2.5</v>
      </c>
      <c r="L88" s="57">
        <v>2</v>
      </c>
      <c r="M88" s="57"/>
      <c r="N88" s="57">
        <v>150</v>
      </c>
      <c r="O88" s="87" t="s">
        <v>595</v>
      </c>
      <c r="P88" s="24">
        <f>marea+areaMast+mssam+mareNoDet</f>
        <v>15</v>
      </c>
      <c r="Q88" s="24">
        <f>voorvlm1+voorllm2</f>
        <v>8.48</v>
      </c>
      <c r="R88" s="24">
        <f t="shared" si="116"/>
        <v>3.7</v>
      </c>
      <c r="S88" s="87">
        <v>8.5</v>
      </c>
      <c r="T88" s="21">
        <f>IF(gs_1,gs_1*0.94,VlgNoDetails)</f>
        <v>5.64</v>
      </c>
      <c r="U88" s="23"/>
      <c r="V88" s="24">
        <f t="shared" si="117"/>
        <v>2.06</v>
      </c>
      <c r="W88" s="24">
        <f>IF(circMast,circMast/2,0.16)+V88</f>
        <v>2.2200000000000002</v>
      </c>
      <c r="X88" s="24">
        <f>msam/e^2</f>
        <v>3.0435841246652053</v>
      </c>
      <c r="Y88" s="25">
        <f t="shared" si="128"/>
        <v>1</v>
      </c>
      <c r="Z88" s="24">
        <f>0.67*X88^0.3*msam*Y88</f>
        <v>14.034005900949326</v>
      </c>
      <c r="AA88" s="21">
        <f>IF(lpg,msag/lpg^2,0)</f>
        <v>0</v>
      </c>
      <c r="AB88" s="24">
        <f>IF(AA88,0.72*AA88^0.3*msag,IF(msag,0.9*msag,0))</f>
        <v>3.33</v>
      </c>
      <c r="AC88" s="24">
        <f>rsam+rsag+IF(rsascr,rsascr-jibred*rsag,rsas-jibred*rsag)</f>
        <v>19.556105900949326</v>
      </c>
      <c r="AD88" s="58">
        <f>IF(wsex,wsex,wsin-6)+crew*(IF(AND(crew=1,msam+msag&gt;=11),75,IF(loa&lt;=4,65,IF(loa&lt;=4.8,70,75))))</f>
        <v>294</v>
      </c>
      <c r="AE88" s="58">
        <f>IF(wsin,wsin,wsex+6)+crew*(IF(AND(crew=1,msam+msag&gt;=11),75,IF(loa&lt;=4,65,IF(loa&lt;=4.8,70,75))))</f>
        <v>300</v>
      </c>
      <c r="AF88" s="21">
        <f>IF(sas,((sas)*0.15),IF(loa&lt;=4.87,IF(crew=1,14*0.15,17*0.15),IF(loa&lt;=5.8,IF(crew=1,17*0.15,21*0.15),IF(loa&lt;=6.71,IF(crew=1,20*0.15,25*0.15),0))))</f>
        <v>2.625</v>
      </c>
      <c r="AG88" s="77">
        <f>IF(AND(ars&lt;0.75*(AND(ars&gt;0)),(sas/msam&gt;0.75)),(sas*(12/ars^1.1)*0.01),0)</f>
        <v>0</v>
      </c>
      <c r="AH88" s="114">
        <f t="shared" si="129"/>
        <v>0.95</v>
      </c>
      <c r="AI88" s="59">
        <f>100/(1.15*rl^0.3*(rsam+rsag)^0.4/rwex^0.325)*corcb</f>
        <v>103.20189599982807</v>
      </c>
      <c r="AJ88" s="59">
        <f>100/(1.15*rl^0.3*rsa^0.4/rwin^0.325)*corcb</f>
        <v>99.057239098688754</v>
      </c>
      <c r="AK88" s="55"/>
      <c r="AL88" s="55">
        <v>2.06</v>
      </c>
      <c r="AM88" s="21">
        <f>AK88*AL88*0.5</f>
        <v>0</v>
      </c>
      <c r="AN88" s="55">
        <v>8.48</v>
      </c>
      <c r="AO88" s="55"/>
      <c r="AP88" s="21">
        <f>AN88*AO88*2/3</f>
        <v>0</v>
      </c>
      <c r="AQ88" s="55"/>
      <c r="AR88" s="55">
        <v>0</v>
      </c>
      <c r="AS88" s="21">
        <f>AQ88*AR88*2/3</f>
        <v>0</v>
      </c>
      <c r="AT88" s="54"/>
      <c r="AU88" s="54"/>
      <c r="AV88" s="21">
        <f>AT88*AU88*0.5</f>
        <v>0</v>
      </c>
      <c r="AW88" s="54"/>
      <c r="AX88" s="54"/>
      <c r="AY88" s="21">
        <f>AW88*AX88*0.5</f>
        <v>0</v>
      </c>
      <c r="AZ88" s="54"/>
      <c r="BA88" s="54"/>
      <c r="BB88" s="21">
        <f>AZ88*BA88*2/3</f>
        <v>0</v>
      </c>
      <c r="BC88" s="54"/>
      <c r="BD88" s="54"/>
      <c r="BE88" s="21">
        <f>BC88*BD88*2/3</f>
        <v>0</v>
      </c>
      <c r="BF88" s="55"/>
      <c r="BG88" s="55"/>
      <c r="BH88" s="21">
        <f>BF88*BG88*0.5</f>
        <v>0</v>
      </c>
      <c r="BI88" s="55"/>
      <c r="BJ88" s="55"/>
      <c r="BK88" s="21">
        <f>BI88*BJ88*2/3</f>
        <v>0</v>
      </c>
      <c r="BL88" s="55"/>
      <c r="BM88" s="55"/>
      <c r="BN88" s="21">
        <f>BL88*BM88*0.5</f>
        <v>0</v>
      </c>
      <c r="BO88" s="55"/>
      <c r="BP88" s="55"/>
      <c r="BQ88" s="21">
        <f>BO88*BP88*0.5</f>
        <v>0</v>
      </c>
      <c r="BR88" s="55"/>
      <c r="BS88" s="21">
        <f>AM88+AP88+AS88+AV88+AY88+BB88+BE88+BH88+BK88+BN88+BQ88</f>
        <v>0</v>
      </c>
      <c r="BT88" s="56">
        <v>0</v>
      </c>
      <c r="BU88" s="56"/>
      <c r="BV88" s="21">
        <f>BT88*BU88*0.5</f>
        <v>0</v>
      </c>
      <c r="BW88" s="77">
        <f>BT88-CF88</f>
        <v>0</v>
      </c>
      <c r="BX88" s="55"/>
      <c r="BY88" s="21">
        <f>BW88*BX88*2/3</f>
        <v>0</v>
      </c>
      <c r="BZ88" s="55"/>
      <c r="CA88" s="55"/>
      <c r="CB88" s="21">
        <f>BZ88*CA88*2/3</f>
        <v>0</v>
      </c>
      <c r="CC88" s="54"/>
      <c r="CD88" s="54"/>
      <c r="CE88" s="21">
        <f>CC88*CD88*2/3</f>
        <v>0</v>
      </c>
      <c r="CF88" s="21"/>
      <c r="CG88" s="21"/>
      <c r="CH88" s="21">
        <f>CF88*CG88*0.5</f>
        <v>0</v>
      </c>
      <c r="CI88" s="25">
        <f>BV88+BY88+CB88+CE88+CH88+DG88</f>
        <v>3.7</v>
      </c>
      <c r="CJ88" s="54"/>
      <c r="CK88" s="21">
        <f>MastLength*circMast*0.5</f>
        <v>0</v>
      </c>
      <c r="CL88" s="55"/>
      <c r="CM88" s="55"/>
      <c r="CN88" s="60"/>
      <c r="CO88" s="55"/>
      <c r="CP88" s="55"/>
      <c r="CQ88" s="55"/>
      <c r="CR88" s="55"/>
      <c r="CS88" s="55"/>
      <c r="CT88" s="55"/>
      <c r="CU88" s="55"/>
      <c r="CV88" s="55"/>
      <c r="CW88" s="55"/>
      <c r="CX88" s="55"/>
      <c r="CY88" s="21">
        <f>(CT88+4*CU88+2*CV88+4*CW88+CX88)*AN88/12</f>
        <v>0</v>
      </c>
      <c r="CZ88" s="56"/>
      <c r="DA88" s="56"/>
      <c r="DB88" s="56"/>
      <c r="DC88" s="56"/>
      <c r="DD88" s="61">
        <f>IF(CZ88,DC88/CZ88,smg_sf_no_details)</f>
        <v>0</v>
      </c>
      <c r="DE88" s="21">
        <f>IF(CZ88,CZ88*(DA88+DB88)/4+(DC88-CZ88/2)*(DA88+DB88)/3,sas_no_details)</f>
        <v>17.5</v>
      </c>
      <c r="DF88" s="55">
        <v>15</v>
      </c>
      <c r="DG88" s="55">
        <v>3.7</v>
      </c>
      <c r="DH88" s="55">
        <v>5.64</v>
      </c>
      <c r="DI88" s="55">
        <v>17.5</v>
      </c>
      <c r="DJ88" s="104"/>
      <c r="DK88" s="53" t="s">
        <v>596</v>
      </c>
      <c r="DM88" s="58">
        <f t="shared" si="108"/>
        <v>763.78092241919978</v>
      </c>
      <c r="DN88" s="58">
        <f>IF(wsex,0.5*wsex*width+(rwex-wsex)*width+trapeze*(rwex-wsex)/crew,0.5*(wsin-6)*width+(rwin-wsin)*width+trapeze*(rwin-wsin)/crew)</f>
        <v>705</v>
      </c>
      <c r="DO88" s="21">
        <f>righting/heeling</f>
        <v>0.92303955140301608</v>
      </c>
      <c r="DP88" s="62">
        <f t="shared" si="127"/>
        <v>1.0088480661509081</v>
      </c>
      <c r="DQ88" s="7" t="s">
        <v>130</v>
      </c>
      <c r="DR88" s="107" t="str">
        <f t="shared" si="111"/>
        <v>yes</v>
      </c>
    </row>
    <row r="89" spans="1:122" ht="12.75" customHeight="1" x14ac:dyDescent="0.2">
      <c r="A89" s="53" t="s">
        <v>249</v>
      </c>
      <c r="B89" s="54">
        <v>1</v>
      </c>
      <c r="C89" s="92">
        <f>AI89*PowerFactor</f>
        <v>107.99246274269538</v>
      </c>
      <c r="D89" s="92">
        <f>AJ89*PowerFactor*IF(crew=1,1.01,1)</f>
        <v>102.88738028662762</v>
      </c>
      <c r="E89" s="92">
        <f>VLOOKUP(A89,[3]TRTOTAL!$A$7:$D$313,3,FALSE)</f>
        <v>109.62602291732362</v>
      </c>
      <c r="F89" s="92">
        <f>VLOOKUP(A89,[3]TRTOTAL!$A$7:$D$313,4,FALSE)</f>
        <v>104.2233761554522</v>
      </c>
      <c r="G89" s="92">
        <f>C89-E89</f>
        <v>-1.6335601746282435</v>
      </c>
      <c r="H89" s="92">
        <f>D89-F89</f>
        <v>-1.3359958688245825</v>
      </c>
      <c r="I89" s="54">
        <v>5</v>
      </c>
      <c r="J89" s="56">
        <v>5</v>
      </c>
      <c r="K89" s="54">
        <v>2.5</v>
      </c>
      <c r="L89" s="57">
        <v>1</v>
      </c>
      <c r="M89" s="57"/>
      <c r="N89" s="57">
        <v>119</v>
      </c>
      <c r="O89" s="87"/>
      <c r="P89" s="24">
        <f t="shared" si="87"/>
        <v>15</v>
      </c>
      <c r="Q89" s="24">
        <f>voorvlm1+voorllm2</f>
        <v>8.48</v>
      </c>
      <c r="R89" s="24">
        <f>CI89</f>
        <v>0</v>
      </c>
      <c r="S89" s="87">
        <v>8.5</v>
      </c>
      <c r="T89" s="21">
        <f t="shared" si="88"/>
        <v>0</v>
      </c>
      <c r="U89" s="21"/>
      <c r="V89" s="24">
        <f>IF(e_sp,e_sp,(IF(mfoot,MAX(CU89:CX89),IF(mainh1,mainh1,vlm*0.3))))</f>
        <v>2.06</v>
      </c>
      <c r="W89" s="24">
        <f>IF(circMast,circMast/2,0.16)+V89</f>
        <v>2.2200000000000002</v>
      </c>
      <c r="X89" s="24">
        <f t="shared" si="89"/>
        <v>3.0435841246652053</v>
      </c>
      <c r="Y89" s="25">
        <f t="shared" si="128"/>
        <v>1</v>
      </c>
      <c r="Z89" s="24">
        <f>0.67*X89^0.3*msam*Y89</f>
        <v>14.034005900949326</v>
      </c>
      <c r="AA89" s="21">
        <f t="shared" si="90"/>
        <v>0</v>
      </c>
      <c r="AB89" s="24">
        <f>IF(AA89,0.72*AA89^0.3*msag,IF(msag,0.9*msag,0))</f>
        <v>0</v>
      </c>
      <c r="AC89" s="24">
        <f t="shared" si="142"/>
        <v>16.659005900949325</v>
      </c>
      <c r="AD89" s="58">
        <f t="shared" si="92"/>
        <v>188</v>
      </c>
      <c r="AE89" s="58">
        <f t="shared" si="93"/>
        <v>194</v>
      </c>
      <c r="AF89" s="21">
        <f t="shared" si="94"/>
        <v>2.625</v>
      </c>
      <c r="AG89" s="77">
        <f t="shared" si="95"/>
        <v>0</v>
      </c>
      <c r="AH89" s="114">
        <f t="shared" si="129"/>
        <v>1</v>
      </c>
      <c r="AI89" s="59">
        <f t="shared" si="96"/>
        <v>102.29155895356428</v>
      </c>
      <c r="AJ89" s="59">
        <f t="shared" si="97"/>
        <v>96.491062311250758</v>
      </c>
      <c r="AK89" s="55"/>
      <c r="AL89" s="55">
        <v>2.06</v>
      </c>
      <c r="AM89" s="21">
        <f>AK89*AL89*0.5</f>
        <v>0</v>
      </c>
      <c r="AN89" s="55">
        <v>8.48</v>
      </c>
      <c r="AO89" s="55"/>
      <c r="AP89" s="21">
        <f>AN89*AO89*2/3</f>
        <v>0</v>
      </c>
      <c r="AQ89" s="55"/>
      <c r="AR89" s="55">
        <v>0</v>
      </c>
      <c r="AS89" s="21">
        <f>AQ89*AR89*2/3</f>
        <v>0</v>
      </c>
      <c r="AT89" s="54"/>
      <c r="AU89" s="54"/>
      <c r="AV89" s="21">
        <f>AT89*AU89*0.5</f>
        <v>0</v>
      </c>
      <c r="AW89" s="54"/>
      <c r="AX89" s="54"/>
      <c r="AY89" s="21">
        <f>AW89*AX89*0.5</f>
        <v>0</v>
      </c>
      <c r="AZ89" s="54"/>
      <c r="BA89" s="54"/>
      <c r="BB89" s="21">
        <f>AZ89*BA89*2/3</f>
        <v>0</v>
      </c>
      <c r="BC89" s="54"/>
      <c r="BD89" s="54"/>
      <c r="BE89" s="21">
        <f>BC89*BD89*2/3</f>
        <v>0</v>
      </c>
      <c r="BF89" s="55"/>
      <c r="BG89" s="55"/>
      <c r="BH89" s="21">
        <f>BF89*BG89*0.5</f>
        <v>0</v>
      </c>
      <c r="BI89" s="55"/>
      <c r="BJ89" s="55"/>
      <c r="BK89" s="21">
        <f>BI89*BJ89*2/3</f>
        <v>0</v>
      </c>
      <c r="BL89" s="55"/>
      <c r="BM89" s="55"/>
      <c r="BN89" s="21">
        <f>BL89*BM89*0.5</f>
        <v>0</v>
      </c>
      <c r="BO89" s="55"/>
      <c r="BP89" s="55"/>
      <c r="BQ89" s="21">
        <f>BO89*BP89*0.5</f>
        <v>0</v>
      </c>
      <c r="BR89" s="55"/>
      <c r="BS89" s="21">
        <f>AM89+AP89+AS89+AV89+AY89+BB89+BE89+BH89+BK89+BN89+BQ89</f>
        <v>0</v>
      </c>
      <c r="BT89" s="56">
        <v>0</v>
      </c>
      <c r="BU89" s="56"/>
      <c r="BV89" s="21">
        <f>BT89*BU89*0.5</f>
        <v>0</v>
      </c>
      <c r="BW89" s="77">
        <f>BT89-CF89</f>
        <v>0</v>
      </c>
      <c r="BX89" s="55"/>
      <c r="BY89" s="21">
        <f>BW89*BX89*2/3</f>
        <v>0</v>
      </c>
      <c r="BZ89" s="55"/>
      <c r="CA89" s="55"/>
      <c r="CB89" s="21">
        <f>BZ89*CA89*2/3</f>
        <v>0</v>
      </c>
      <c r="CC89" s="55"/>
      <c r="CD89" s="55"/>
      <c r="CE89" s="21">
        <f>CC89*CD89*2/3</f>
        <v>0</v>
      </c>
      <c r="CF89" s="21"/>
      <c r="CG89" s="21"/>
      <c r="CH89" s="21">
        <f>CF89*CG89*0.5</f>
        <v>0</v>
      </c>
      <c r="CI89" s="25">
        <f>BV89+BY89+CB89+CE89+CH89+DG89</f>
        <v>0</v>
      </c>
      <c r="CJ89" s="54"/>
      <c r="CK89" s="21">
        <f t="shared" si="107"/>
        <v>0</v>
      </c>
      <c r="CL89" s="55"/>
      <c r="CM89" s="55"/>
      <c r="CN89" s="60"/>
      <c r="CO89" s="55"/>
      <c r="CP89" s="55"/>
      <c r="CQ89" s="55"/>
      <c r="CR89" s="55"/>
      <c r="CS89" s="55"/>
      <c r="CT89" s="55"/>
      <c r="CU89" s="55"/>
      <c r="CV89" s="55"/>
      <c r="CW89" s="55"/>
      <c r="CX89" s="55"/>
      <c r="CY89" s="21">
        <f>(CT89+4*CU89+2*CV89+4*CW89+CX89)*AN89/12</f>
        <v>0</v>
      </c>
      <c r="CZ89" s="56"/>
      <c r="DA89" s="56"/>
      <c r="DB89" s="56"/>
      <c r="DC89" s="56"/>
      <c r="DD89" s="61">
        <f>IF(CZ89,DC89/CZ89,smg_sf_no_details)</f>
        <v>0</v>
      </c>
      <c r="DE89" s="21">
        <f>IF(CZ89,CZ89*(DA89+DB89)/4+(DC89-CZ89/2)*(DA89+DB89)/3,sas_no_details)</f>
        <v>17.5</v>
      </c>
      <c r="DF89" s="55">
        <v>15</v>
      </c>
      <c r="DG89" s="55"/>
      <c r="DH89" s="55"/>
      <c r="DI89" s="55">
        <v>17.5</v>
      </c>
      <c r="DJ89" s="104"/>
      <c r="DK89" s="53" t="s">
        <v>129</v>
      </c>
      <c r="DM89" s="58">
        <f t="shared" si="108"/>
        <v>661.05349631999991</v>
      </c>
      <c r="DN89" s="58">
        <f t="shared" si="109"/>
        <v>403.75</v>
      </c>
      <c r="DO89" s="21">
        <f t="shared" si="110"/>
        <v>0.61076751314019895</v>
      </c>
      <c r="DP89" s="62">
        <f t="shared" si="127"/>
        <v>1.0557319083554007</v>
      </c>
      <c r="DQ89" s="7" t="s">
        <v>130</v>
      </c>
      <c r="DR89" s="107" t="str">
        <f t="shared" si="111"/>
        <v>yes</v>
      </c>
    </row>
    <row r="90" spans="1:122" ht="12.75" customHeight="1" x14ac:dyDescent="0.2">
      <c r="A90" s="53" t="s">
        <v>250</v>
      </c>
      <c r="B90" s="54">
        <v>1</v>
      </c>
      <c r="C90" s="92">
        <f t="shared" ref="C90:C100" si="147">AI90*PowerFactor</f>
        <v>143.3418881796604</v>
      </c>
      <c r="D90" s="92">
        <f t="shared" ref="D90:D100" si="148">AJ90*PowerFactor*IF(crew=1,1.01,1)</f>
        <v>133.42230618123477</v>
      </c>
      <c r="E90" s="92">
        <f>VLOOKUP(A90,[3]TRTOTAL!$A$7:$D$313,3,FALSE)</f>
        <v>143.3418881796604</v>
      </c>
      <c r="F90" s="92">
        <f>VLOOKUP(A90,[3]TRTOTAL!$A$7:$D$313,4,FALSE)</f>
        <v>133.42230618123477</v>
      </c>
      <c r="G90" s="92">
        <f t="shared" si="112"/>
        <v>0</v>
      </c>
      <c r="H90" s="92">
        <f t="shared" si="113"/>
        <v>0</v>
      </c>
      <c r="I90" s="54">
        <v>3.91</v>
      </c>
      <c r="J90" s="56">
        <v>3.89</v>
      </c>
      <c r="K90" s="54">
        <v>2</v>
      </c>
      <c r="L90" s="57">
        <v>1</v>
      </c>
      <c r="M90" s="57">
        <v>97</v>
      </c>
      <c r="N90" s="57"/>
      <c r="O90" s="87" t="s">
        <v>133</v>
      </c>
      <c r="P90" s="24">
        <f t="shared" si="87"/>
        <v>6.56</v>
      </c>
      <c r="Q90" s="24">
        <f t="shared" ref="Q90:Q124" si="149">voorvlm1+voorllm2</f>
        <v>5.96</v>
      </c>
      <c r="R90" s="24">
        <f t="shared" ref="R90:R95" si="150">CI90</f>
        <v>1.92</v>
      </c>
      <c r="S90" s="87">
        <v>6.3</v>
      </c>
      <c r="T90" s="21">
        <f t="shared" si="88"/>
        <v>3.07</v>
      </c>
      <c r="U90" s="21">
        <v>1.66</v>
      </c>
      <c r="V90" s="24">
        <f t="shared" ref="V90:V95" si="151">IF(e_sp,e_sp,(IF(mfoot,MAX(CU90:CX90),IF(mainh1,mainh1,vlm*0.3))))</f>
        <v>1.66</v>
      </c>
      <c r="W90" s="24">
        <f t="shared" si="118"/>
        <v>1.8199999999999998</v>
      </c>
      <c r="X90" s="24">
        <f t="shared" si="89"/>
        <v>1.9804371452723104</v>
      </c>
      <c r="Y90" s="25">
        <f t="shared" si="128"/>
        <v>1</v>
      </c>
      <c r="Z90" s="24">
        <f t="shared" si="119"/>
        <v>5.3951927014167085</v>
      </c>
      <c r="AA90" s="21">
        <f t="shared" si="90"/>
        <v>0</v>
      </c>
      <c r="AB90" s="24">
        <f t="shared" si="120"/>
        <v>1.728</v>
      </c>
      <c r="AC90" s="24">
        <f t="shared" si="142"/>
        <v>8.9985527014167079</v>
      </c>
      <c r="AD90" s="58">
        <f t="shared" si="92"/>
        <v>162</v>
      </c>
      <c r="AE90" s="58">
        <f t="shared" si="93"/>
        <v>168</v>
      </c>
      <c r="AF90" s="21">
        <f t="shared" si="94"/>
        <v>2.1</v>
      </c>
      <c r="AG90" s="77">
        <f t="shared" si="95"/>
        <v>0</v>
      </c>
      <c r="AH90" s="114">
        <f t="shared" si="129"/>
        <v>1.04</v>
      </c>
      <c r="AI90" s="59">
        <f t="shared" si="96"/>
        <v>143.3418881796604</v>
      </c>
      <c r="AJ90" s="59">
        <f t="shared" si="97"/>
        <v>132.10129324874731</v>
      </c>
      <c r="AK90" s="55"/>
      <c r="AL90" s="55"/>
      <c r="AM90" s="21">
        <f t="shared" si="130"/>
        <v>0</v>
      </c>
      <c r="AN90" s="54">
        <v>5.96</v>
      </c>
      <c r="AO90" s="55"/>
      <c r="AP90" s="21">
        <f t="shared" si="131"/>
        <v>0</v>
      </c>
      <c r="AQ90" s="55"/>
      <c r="AR90" s="55"/>
      <c r="AS90" s="21">
        <f t="shared" si="132"/>
        <v>0</v>
      </c>
      <c r="AT90" s="54"/>
      <c r="AU90" s="54"/>
      <c r="AV90" s="21">
        <f t="shared" si="133"/>
        <v>0</v>
      </c>
      <c r="AW90" s="54"/>
      <c r="AX90" s="54"/>
      <c r="AY90" s="21">
        <f t="shared" si="134"/>
        <v>0</v>
      </c>
      <c r="AZ90" s="54"/>
      <c r="BA90" s="54"/>
      <c r="BB90" s="21">
        <f t="shared" si="135"/>
        <v>0</v>
      </c>
      <c r="BC90" s="54"/>
      <c r="BD90" s="54"/>
      <c r="BE90" s="21">
        <f t="shared" si="136"/>
        <v>0</v>
      </c>
      <c r="BF90" s="55"/>
      <c r="BG90" s="55"/>
      <c r="BH90" s="21">
        <f t="shared" si="137"/>
        <v>0</v>
      </c>
      <c r="BI90" s="55"/>
      <c r="BJ90" s="55"/>
      <c r="BK90" s="21">
        <f t="shared" si="138"/>
        <v>0</v>
      </c>
      <c r="BL90" s="55"/>
      <c r="BM90" s="55"/>
      <c r="BN90" s="21">
        <f t="shared" si="139"/>
        <v>0</v>
      </c>
      <c r="BO90" s="55"/>
      <c r="BP90" s="55"/>
      <c r="BQ90" s="21">
        <f t="shared" si="140"/>
        <v>0</v>
      </c>
      <c r="BR90" s="55"/>
      <c r="BS90" s="21">
        <f t="shared" si="141"/>
        <v>0</v>
      </c>
      <c r="BT90" s="56">
        <v>0</v>
      </c>
      <c r="BU90" s="56"/>
      <c r="BV90" s="21">
        <f t="shared" si="143"/>
        <v>0</v>
      </c>
      <c r="BW90" s="77">
        <f t="shared" si="121"/>
        <v>0</v>
      </c>
      <c r="BX90" s="55"/>
      <c r="BY90" s="21">
        <f t="shared" si="144"/>
        <v>0</v>
      </c>
      <c r="BZ90" s="55"/>
      <c r="CA90" s="55"/>
      <c r="CB90" s="21">
        <f t="shared" si="145"/>
        <v>0</v>
      </c>
      <c r="CC90" s="54"/>
      <c r="CD90" s="54"/>
      <c r="CE90" s="21">
        <f t="shared" si="146"/>
        <v>0</v>
      </c>
      <c r="CF90" s="21"/>
      <c r="CG90" s="21"/>
      <c r="CH90" s="21">
        <f t="shared" si="122"/>
        <v>0</v>
      </c>
      <c r="CI90" s="25">
        <f t="shared" si="123"/>
        <v>1.92</v>
      </c>
      <c r="CJ90" s="54"/>
      <c r="CK90" s="21">
        <f t="shared" si="107"/>
        <v>0</v>
      </c>
      <c r="CL90" s="55"/>
      <c r="CM90" s="55"/>
      <c r="CN90" s="60"/>
      <c r="CO90" s="55"/>
      <c r="CP90" s="55"/>
      <c r="CQ90" s="55"/>
      <c r="CR90" s="55"/>
      <c r="CS90" s="55"/>
      <c r="CT90" s="55"/>
      <c r="CU90" s="55"/>
      <c r="CV90" s="55"/>
      <c r="CW90" s="55"/>
      <c r="CX90" s="55"/>
      <c r="CY90" s="21">
        <f t="shared" si="124"/>
        <v>0</v>
      </c>
      <c r="CZ90" s="56"/>
      <c r="DA90" s="56"/>
      <c r="DB90" s="56"/>
      <c r="DC90" s="56"/>
      <c r="DD90" s="61">
        <f t="shared" si="125"/>
        <v>0</v>
      </c>
      <c r="DE90" s="21">
        <f t="shared" si="126"/>
        <v>0</v>
      </c>
      <c r="DF90" s="55">
        <v>6.56</v>
      </c>
      <c r="DG90" s="55">
        <v>1.92</v>
      </c>
      <c r="DH90" s="55">
        <v>3.07</v>
      </c>
      <c r="DI90" s="55"/>
      <c r="DJ90" s="104"/>
      <c r="DK90" s="53"/>
      <c r="DM90" s="58">
        <f t="shared" si="108"/>
        <v>260.50639060991995</v>
      </c>
      <c r="DN90" s="58">
        <f t="shared" si="109"/>
        <v>292</v>
      </c>
      <c r="DO90" s="21">
        <f t="shared" si="110"/>
        <v>1.1208938073125365</v>
      </c>
      <c r="DP90" s="62">
        <f t="shared" si="127"/>
        <v>1</v>
      </c>
      <c r="DQ90" s="7">
        <v>0</v>
      </c>
      <c r="DR90" s="107">
        <f t="shared" si="111"/>
        <v>0</v>
      </c>
    </row>
    <row r="91" spans="1:122" ht="12.75" customHeight="1" x14ac:dyDescent="0.2">
      <c r="A91" s="53" t="s">
        <v>251</v>
      </c>
      <c r="B91" s="54">
        <v>1</v>
      </c>
      <c r="C91" s="92">
        <f t="shared" si="147"/>
        <v>133.41501101860055</v>
      </c>
      <c r="D91" s="92">
        <f t="shared" si="148"/>
        <v>125.35099083385201</v>
      </c>
      <c r="E91" s="92">
        <f>VLOOKUP(A91,[3]TRTOTAL!$A$7:$D$313,3,FALSE)</f>
        <v>133.41501101860055</v>
      </c>
      <c r="F91" s="92">
        <f>VLOOKUP(A91,[3]TRTOTAL!$A$7:$D$313,4,FALSE)</f>
        <v>125.35099083385201</v>
      </c>
      <c r="G91" s="92">
        <f t="shared" si="112"/>
        <v>0</v>
      </c>
      <c r="H91" s="92">
        <f t="shared" si="113"/>
        <v>0</v>
      </c>
      <c r="I91" s="54">
        <v>4.25</v>
      </c>
      <c r="J91" s="56">
        <v>4.08</v>
      </c>
      <c r="K91" s="54">
        <v>2.34</v>
      </c>
      <c r="L91" s="57">
        <v>1</v>
      </c>
      <c r="M91" s="57">
        <v>109</v>
      </c>
      <c r="N91" s="57"/>
      <c r="O91" s="87" t="s">
        <v>133</v>
      </c>
      <c r="P91" s="24">
        <f t="shared" si="87"/>
        <v>11.223541666666666</v>
      </c>
      <c r="Q91" s="24">
        <f t="shared" si="149"/>
        <v>5.95</v>
      </c>
      <c r="R91" s="24">
        <f t="shared" si="150"/>
        <v>0</v>
      </c>
      <c r="S91" s="87">
        <v>6.8</v>
      </c>
      <c r="T91" s="21">
        <f t="shared" si="88"/>
        <v>0</v>
      </c>
      <c r="U91" s="21"/>
      <c r="V91" s="24">
        <f t="shared" si="151"/>
        <v>2.2999999999999998</v>
      </c>
      <c r="W91" s="24">
        <f t="shared" si="118"/>
        <v>2.42</v>
      </c>
      <c r="X91" s="24">
        <f t="shared" si="89"/>
        <v>1.9164574937959611</v>
      </c>
      <c r="Y91" s="25">
        <f t="shared" si="128"/>
        <v>1</v>
      </c>
      <c r="Z91" s="24">
        <f t="shared" si="119"/>
        <v>9.1401744179275219</v>
      </c>
      <c r="AA91" s="21">
        <f t="shared" si="90"/>
        <v>0</v>
      </c>
      <c r="AB91" s="24">
        <f t="shared" si="120"/>
        <v>0</v>
      </c>
      <c r="AC91" s="24">
        <f t="shared" si="142"/>
        <v>11.240174417927522</v>
      </c>
      <c r="AD91" s="58">
        <f t="shared" si="92"/>
        <v>184</v>
      </c>
      <c r="AE91" s="58">
        <f t="shared" si="93"/>
        <v>190</v>
      </c>
      <c r="AF91" s="21">
        <f t="shared" si="94"/>
        <v>2.1</v>
      </c>
      <c r="AG91" s="77">
        <f t="shared" si="95"/>
        <v>0</v>
      </c>
      <c r="AH91" s="114">
        <f t="shared" si="129"/>
        <v>1.04</v>
      </c>
      <c r="AI91" s="59">
        <f t="shared" si="96"/>
        <v>133.29732962736307</v>
      </c>
      <c r="AJ91" s="59">
        <f t="shared" si="97"/>
        <v>124.00041829074506</v>
      </c>
      <c r="AK91" s="55">
        <v>5.95</v>
      </c>
      <c r="AL91" s="55">
        <v>0</v>
      </c>
      <c r="AM91" s="21">
        <f t="shared" si="130"/>
        <v>0</v>
      </c>
      <c r="AN91" s="54">
        <v>5.95</v>
      </c>
      <c r="AO91" s="55"/>
      <c r="AP91" s="21">
        <f t="shared" si="131"/>
        <v>0</v>
      </c>
      <c r="AQ91" s="55"/>
      <c r="AR91" s="55"/>
      <c r="AS91" s="21">
        <f t="shared" si="132"/>
        <v>0</v>
      </c>
      <c r="AT91" s="54"/>
      <c r="AU91" s="54"/>
      <c r="AV91" s="21">
        <f t="shared" si="133"/>
        <v>0</v>
      </c>
      <c r="AW91" s="54"/>
      <c r="AX91" s="54"/>
      <c r="AY91" s="21">
        <f t="shared" si="134"/>
        <v>0</v>
      </c>
      <c r="AZ91" s="54"/>
      <c r="BA91" s="54"/>
      <c r="BB91" s="21">
        <f t="shared" si="135"/>
        <v>0</v>
      </c>
      <c r="BC91" s="54"/>
      <c r="BD91" s="54"/>
      <c r="BE91" s="21">
        <f t="shared" si="136"/>
        <v>0</v>
      </c>
      <c r="BF91" s="55"/>
      <c r="BG91" s="55"/>
      <c r="BH91" s="21">
        <f t="shared" si="137"/>
        <v>0</v>
      </c>
      <c r="BI91" s="55"/>
      <c r="BJ91" s="55"/>
      <c r="BK91" s="21">
        <f t="shared" si="138"/>
        <v>0</v>
      </c>
      <c r="BL91" s="55"/>
      <c r="BM91" s="55"/>
      <c r="BN91" s="21">
        <f t="shared" si="139"/>
        <v>0</v>
      </c>
      <c r="BO91" s="55"/>
      <c r="BP91" s="55"/>
      <c r="BQ91" s="21">
        <f t="shared" si="140"/>
        <v>0</v>
      </c>
      <c r="BR91" s="55"/>
      <c r="BS91" s="21">
        <f t="shared" si="141"/>
        <v>0</v>
      </c>
      <c r="BT91" s="56">
        <v>0</v>
      </c>
      <c r="BU91" s="56"/>
      <c r="BV91" s="21">
        <f t="shared" si="143"/>
        <v>0</v>
      </c>
      <c r="BW91" s="77">
        <f t="shared" si="121"/>
        <v>0</v>
      </c>
      <c r="BX91" s="55"/>
      <c r="BY91" s="21">
        <f t="shared" si="144"/>
        <v>0</v>
      </c>
      <c r="BZ91" s="55"/>
      <c r="CA91" s="55"/>
      <c r="CB91" s="21">
        <f t="shared" si="145"/>
        <v>0</v>
      </c>
      <c r="CC91" s="55"/>
      <c r="CD91" s="55"/>
      <c r="CE91" s="21">
        <f t="shared" si="146"/>
        <v>0</v>
      </c>
      <c r="CF91" s="21"/>
      <c r="CG91" s="21"/>
      <c r="CH91" s="21">
        <f t="shared" si="122"/>
        <v>0</v>
      </c>
      <c r="CI91" s="25">
        <f t="shared" si="123"/>
        <v>0</v>
      </c>
      <c r="CJ91" s="54">
        <v>0.24</v>
      </c>
      <c r="CK91" s="21">
        <f t="shared" si="107"/>
        <v>0.81599999999999995</v>
      </c>
      <c r="CL91" s="55"/>
      <c r="CM91" s="55"/>
      <c r="CN91" s="60"/>
      <c r="CO91" s="55"/>
      <c r="CP91" s="55"/>
      <c r="CQ91" s="55"/>
      <c r="CR91" s="55"/>
      <c r="CS91" s="55"/>
      <c r="CT91" s="55">
        <v>0.15</v>
      </c>
      <c r="CU91" s="55">
        <v>1.4</v>
      </c>
      <c r="CV91" s="55">
        <v>1.93</v>
      </c>
      <c r="CW91" s="55">
        <v>2.27</v>
      </c>
      <c r="CX91" s="55">
        <v>2.2999999999999998</v>
      </c>
      <c r="CY91" s="21">
        <f t="shared" si="124"/>
        <v>10.407541666666665</v>
      </c>
      <c r="CZ91" s="56"/>
      <c r="DA91" s="56"/>
      <c r="DB91" s="56"/>
      <c r="DC91" s="56"/>
      <c r="DD91" s="61">
        <f t="shared" si="125"/>
        <v>0</v>
      </c>
      <c r="DE91" s="21">
        <f t="shared" si="126"/>
        <v>0</v>
      </c>
      <c r="DF91" s="55"/>
      <c r="DG91" s="55"/>
      <c r="DH91" s="55"/>
      <c r="DI91" s="55"/>
      <c r="DJ91" s="104"/>
      <c r="DK91" s="53"/>
      <c r="DM91" s="58">
        <f t="shared" si="108"/>
        <v>381.07488914319993</v>
      </c>
      <c r="DN91" s="58">
        <f t="shared" si="109"/>
        <v>378.03</v>
      </c>
      <c r="DO91" s="21">
        <f t="shared" si="110"/>
        <v>0.99200973554031335</v>
      </c>
      <c r="DP91" s="62">
        <f t="shared" si="127"/>
        <v>1.0008828488280033</v>
      </c>
      <c r="DQ91" s="7" t="s">
        <v>130</v>
      </c>
      <c r="DR91" s="107">
        <f t="shared" si="111"/>
        <v>0</v>
      </c>
    </row>
    <row r="92" spans="1:122" ht="12.75" customHeight="1" x14ac:dyDescent="0.2">
      <c r="A92" s="53" t="s">
        <v>252</v>
      </c>
      <c r="B92" s="54">
        <v>1</v>
      </c>
      <c r="C92" s="92">
        <f t="shared" si="147"/>
        <v>123.54261046838661</v>
      </c>
      <c r="D92" s="92">
        <f t="shared" si="148"/>
        <v>119.12805948854576</v>
      </c>
      <c r="E92" s="92">
        <f>VLOOKUP(A92,[3]TRTOTAL!$A$7:$D$313,3,FALSE)</f>
        <v>123.54261046838661</v>
      </c>
      <c r="F92" s="92">
        <f>VLOOKUP(A92,[3]TRTOTAL!$A$7:$D$313,4,FALSE)</f>
        <v>119.12805948854576</v>
      </c>
      <c r="G92" s="92">
        <f t="shared" si="112"/>
        <v>0</v>
      </c>
      <c r="H92" s="92">
        <f t="shared" si="113"/>
        <v>0</v>
      </c>
      <c r="I92" s="54">
        <v>4.25</v>
      </c>
      <c r="J92" s="56">
        <v>4.08</v>
      </c>
      <c r="K92" s="54">
        <v>2.34</v>
      </c>
      <c r="L92" s="57">
        <v>1</v>
      </c>
      <c r="M92" s="57">
        <v>112</v>
      </c>
      <c r="N92" s="57"/>
      <c r="O92" s="87" t="s">
        <v>133</v>
      </c>
      <c r="P92" s="24">
        <f t="shared" si="87"/>
        <v>11.223541666666666</v>
      </c>
      <c r="Q92" s="24">
        <f t="shared" si="149"/>
        <v>5.95</v>
      </c>
      <c r="R92" s="24">
        <f t="shared" si="150"/>
        <v>2.8</v>
      </c>
      <c r="S92" s="87">
        <v>6.8</v>
      </c>
      <c r="T92" s="21">
        <f t="shared" si="88"/>
        <v>3.75</v>
      </c>
      <c r="U92" s="21"/>
      <c r="V92" s="24">
        <f t="shared" si="151"/>
        <v>2.2999999999999998</v>
      </c>
      <c r="W92" s="24">
        <f t="shared" si="118"/>
        <v>2.42</v>
      </c>
      <c r="X92" s="24">
        <f t="shared" si="89"/>
        <v>1.9164574937959611</v>
      </c>
      <c r="Y92" s="25">
        <f t="shared" si="128"/>
        <v>1</v>
      </c>
      <c r="Z92" s="24">
        <f t="shared" si="119"/>
        <v>9.1401744179275219</v>
      </c>
      <c r="AA92" s="21">
        <f t="shared" si="90"/>
        <v>0</v>
      </c>
      <c r="AB92" s="24">
        <f t="shared" si="120"/>
        <v>2.52</v>
      </c>
      <c r="AC92" s="24">
        <f t="shared" si="142"/>
        <v>13.432574417927523</v>
      </c>
      <c r="AD92" s="58">
        <f t="shared" si="92"/>
        <v>187</v>
      </c>
      <c r="AE92" s="58">
        <f t="shared" si="93"/>
        <v>193</v>
      </c>
      <c r="AF92" s="21">
        <f t="shared" si="94"/>
        <v>2.1</v>
      </c>
      <c r="AG92" s="77">
        <f t="shared" si="95"/>
        <v>0</v>
      </c>
      <c r="AH92" s="114">
        <f t="shared" si="129"/>
        <v>1.04</v>
      </c>
      <c r="AI92" s="59">
        <f t="shared" si="96"/>
        <v>121.5637121202975</v>
      </c>
      <c r="AJ92" s="59">
        <f t="shared" si="97"/>
        <v>116.05928035768333</v>
      </c>
      <c r="AK92" s="55">
        <v>5.95</v>
      </c>
      <c r="AL92" s="55"/>
      <c r="AM92" s="21">
        <f t="shared" si="130"/>
        <v>0</v>
      </c>
      <c r="AN92" s="54">
        <v>5.95</v>
      </c>
      <c r="AO92" s="55"/>
      <c r="AP92" s="21">
        <f t="shared" si="131"/>
        <v>0</v>
      </c>
      <c r="AQ92" s="55"/>
      <c r="AR92" s="55"/>
      <c r="AS92" s="21">
        <f t="shared" si="132"/>
        <v>0</v>
      </c>
      <c r="AT92" s="54"/>
      <c r="AU92" s="54"/>
      <c r="AV92" s="21">
        <f t="shared" si="133"/>
        <v>0</v>
      </c>
      <c r="AW92" s="54"/>
      <c r="AX92" s="54"/>
      <c r="AY92" s="21">
        <f t="shared" si="134"/>
        <v>0</v>
      </c>
      <c r="AZ92" s="54"/>
      <c r="BA92" s="54"/>
      <c r="BB92" s="21">
        <f t="shared" si="135"/>
        <v>0</v>
      </c>
      <c r="BC92" s="54"/>
      <c r="BD92" s="54"/>
      <c r="BE92" s="21">
        <f t="shared" si="136"/>
        <v>0</v>
      </c>
      <c r="BF92" s="55"/>
      <c r="BG92" s="55"/>
      <c r="BH92" s="21">
        <f t="shared" si="137"/>
        <v>0</v>
      </c>
      <c r="BI92" s="55"/>
      <c r="BJ92" s="55"/>
      <c r="BK92" s="21">
        <f t="shared" si="138"/>
        <v>0</v>
      </c>
      <c r="BL92" s="55"/>
      <c r="BM92" s="55"/>
      <c r="BN92" s="21">
        <f t="shared" si="139"/>
        <v>0</v>
      </c>
      <c r="BO92" s="55"/>
      <c r="BP92" s="55"/>
      <c r="BQ92" s="21">
        <f t="shared" si="140"/>
        <v>0</v>
      </c>
      <c r="BR92" s="55"/>
      <c r="BS92" s="21">
        <f t="shared" si="141"/>
        <v>0</v>
      </c>
      <c r="BT92" s="56"/>
      <c r="BU92" s="56"/>
      <c r="BV92" s="21">
        <f t="shared" si="143"/>
        <v>0</v>
      </c>
      <c r="BW92" s="77">
        <f t="shared" si="121"/>
        <v>0</v>
      </c>
      <c r="BX92" s="55"/>
      <c r="BY92" s="21">
        <f t="shared" si="144"/>
        <v>0</v>
      </c>
      <c r="BZ92" s="55"/>
      <c r="CA92" s="55"/>
      <c r="CB92" s="21">
        <f t="shared" si="145"/>
        <v>0</v>
      </c>
      <c r="CC92" s="54"/>
      <c r="CD92" s="54"/>
      <c r="CE92" s="21">
        <f t="shared" si="146"/>
        <v>0</v>
      </c>
      <c r="CF92" s="21"/>
      <c r="CG92" s="21"/>
      <c r="CH92" s="21">
        <f t="shared" si="122"/>
        <v>0</v>
      </c>
      <c r="CI92" s="25">
        <f t="shared" si="123"/>
        <v>2.8</v>
      </c>
      <c r="CJ92" s="54">
        <v>0.24</v>
      </c>
      <c r="CK92" s="21">
        <f t="shared" si="107"/>
        <v>0.81599999999999995</v>
      </c>
      <c r="CL92" s="55"/>
      <c r="CM92" s="55"/>
      <c r="CN92" s="60"/>
      <c r="CO92" s="55"/>
      <c r="CP92" s="55"/>
      <c r="CQ92" s="55"/>
      <c r="CR92" s="55"/>
      <c r="CS92" s="55"/>
      <c r="CT92" s="55">
        <v>0.15</v>
      </c>
      <c r="CU92" s="55">
        <v>1.4</v>
      </c>
      <c r="CV92" s="55">
        <v>1.93</v>
      </c>
      <c r="CW92" s="55">
        <v>2.27</v>
      </c>
      <c r="CX92" s="55">
        <v>2.2999999999999998</v>
      </c>
      <c r="CY92" s="21">
        <f t="shared" si="124"/>
        <v>10.407541666666665</v>
      </c>
      <c r="CZ92" s="56"/>
      <c r="DA92" s="56"/>
      <c r="DB92" s="56"/>
      <c r="DC92" s="56"/>
      <c r="DD92" s="61">
        <f t="shared" si="125"/>
        <v>0</v>
      </c>
      <c r="DE92" s="21">
        <f t="shared" si="126"/>
        <v>0</v>
      </c>
      <c r="DF92" s="55"/>
      <c r="DG92" s="55">
        <v>2.8</v>
      </c>
      <c r="DH92" s="55">
        <v>3.75</v>
      </c>
      <c r="DI92" s="55"/>
      <c r="DJ92" s="104"/>
      <c r="DK92" s="53" t="s">
        <v>515</v>
      </c>
      <c r="DM92" s="58">
        <f t="shared" si="108"/>
        <v>441.86844434319994</v>
      </c>
      <c r="DN92" s="58">
        <f t="shared" si="109"/>
        <v>381.53999999999996</v>
      </c>
      <c r="DO92" s="21">
        <f t="shared" si="110"/>
        <v>0.86346967040637379</v>
      </c>
      <c r="DP92" s="62">
        <f t="shared" si="127"/>
        <v>1.0162786929880097</v>
      </c>
      <c r="DQ92" s="7" t="s">
        <v>130</v>
      </c>
      <c r="DR92" s="107">
        <f t="shared" si="111"/>
        <v>0</v>
      </c>
    </row>
    <row r="93" spans="1:122" ht="12.75" customHeight="1" x14ac:dyDescent="0.2">
      <c r="A93" s="53" t="s">
        <v>253</v>
      </c>
      <c r="B93" s="54">
        <v>2</v>
      </c>
      <c r="C93" s="92">
        <f t="shared" si="147"/>
        <v>136.09213720750452</v>
      </c>
      <c r="D93" s="92">
        <f t="shared" si="148"/>
        <v>127.33892961275882</v>
      </c>
      <c r="E93" s="92">
        <f>VLOOKUP(A93,[3]TRTOTAL!$A$7:$D$313,3,FALSE)</f>
        <v>136.09213720750452</v>
      </c>
      <c r="F93" s="92">
        <f>VLOOKUP(A93,[3]TRTOTAL!$A$7:$D$313,4,FALSE)</f>
        <v>127.33892961275882</v>
      </c>
      <c r="G93" s="92">
        <f t="shared" si="112"/>
        <v>0</v>
      </c>
      <c r="H93" s="92">
        <f t="shared" si="113"/>
        <v>0</v>
      </c>
      <c r="I93" s="54">
        <v>4.25</v>
      </c>
      <c r="J93" s="56">
        <v>4.08</v>
      </c>
      <c r="K93" s="54">
        <v>2.34</v>
      </c>
      <c r="L93" s="57">
        <v>1</v>
      </c>
      <c r="M93" s="57">
        <v>112</v>
      </c>
      <c r="N93" s="57"/>
      <c r="O93" s="87" t="s">
        <v>133</v>
      </c>
      <c r="P93" s="24">
        <f t="shared" si="87"/>
        <v>11.221141666666664</v>
      </c>
      <c r="Q93" s="24">
        <f t="shared" si="149"/>
        <v>5.95</v>
      </c>
      <c r="R93" s="24">
        <f t="shared" si="150"/>
        <v>2.6201499999999998</v>
      </c>
      <c r="S93" s="87">
        <v>6.78</v>
      </c>
      <c r="T93" s="21">
        <f t="shared" si="88"/>
        <v>3.5437999999999996</v>
      </c>
      <c r="U93" s="21"/>
      <c r="V93" s="24">
        <f t="shared" si="151"/>
        <v>2.2999999999999998</v>
      </c>
      <c r="W93" s="24">
        <f t="shared" si="118"/>
        <v>2.42</v>
      </c>
      <c r="X93" s="24">
        <f t="shared" si="89"/>
        <v>1.9160476857227418</v>
      </c>
      <c r="Y93" s="25">
        <f t="shared" si="128"/>
        <v>1</v>
      </c>
      <c r="Z93" s="24">
        <f t="shared" si="119"/>
        <v>9.1376336486873875</v>
      </c>
      <c r="AA93" s="21">
        <f t="shared" si="90"/>
        <v>1.3561151079136691</v>
      </c>
      <c r="AB93" s="24">
        <f t="shared" si="120"/>
        <v>2.0670339869230268</v>
      </c>
      <c r="AC93" s="24">
        <f t="shared" si="142"/>
        <v>13.485953217310421</v>
      </c>
      <c r="AD93" s="58">
        <f t="shared" si="92"/>
        <v>252</v>
      </c>
      <c r="AE93" s="58">
        <f t="shared" si="93"/>
        <v>258</v>
      </c>
      <c r="AF93" s="21">
        <f t="shared" si="94"/>
        <v>2.5499999999999998</v>
      </c>
      <c r="AG93" s="77">
        <f t="shared" si="95"/>
        <v>0</v>
      </c>
      <c r="AH93" s="114">
        <f t="shared" si="129"/>
        <v>1.04</v>
      </c>
      <c r="AI93" s="59">
        <f t="shared" si="96"/>
        <v>136.09213720750452</v>
      </c>
      <c r="AJ93" s="59">
        <f t="shared" si="97"/>
        <v>127.33892961275882</v>
      </c>
      <c r="AK93" s="55">
        <v>5.95</v>
      </c>
      <c r="AL93" s="55"/>
      <c r="AM93" s="21">
        <f t="shared" si="130"/>
        <v>0</v>
      </c>
      <c r="AN93" s="54">
        <v>5.95</v>
      </c>
      <c r="AO93" s="55"/>
      <c r="AP93" s="21">
        <f t="shared" si="131"/>
        <v>0</v>
      </c>
      <c r="AQ93" s="55"/>
      <c r="AR93" s="55"/>
      <c r="AS93" s="21">
        <f t="shared" si="132"/>
        <v>0</v>
      </c>
      <c r="AT93" s="54"/>
      <c r="AU93" s="54"/>
      <c r="AV93" s="21">
        <f t="shared" si="133"/>
        <v>0</v>
      </c>
      <c r="AW93" s="54"/>
      <c r="AX93" s="54"/>
      <c r="AY93" s="21">
        <f t="shared" si="134"/>
        <v>0</v>
      </c>
      <c r="AZ93" s="54"/>
      <c r="BA93" s="54"/>
      <c r="BB93" s="21">
        <f t="shared" si="135"/>
        <v>0</v>
      </c>
      <c r="BC93" s="54"/>
      <c r="BD93" s="54"/>
      <c r="BE93" s="21">
        <f t="shared" si="136"/>
        <v>0</v>
      </c>
      <c r="BF93" s="55"/>
      <c r="BG93" s="55"/>
      <c r="BH93" s="21">
        <f t="shared" si="137"/>
        <v>0</v>
      </c>
      <c r="BI93" s="55"/>
      <c r="BJ93" s="55"/>
      <c r="BK93" s="21">
        <f t="shared" si="138"/>
        <v>0</v>
      </c>
      <c r="BL93" s="55"/>
      <c r="BM93" s="55"/>
      <c r="BN93" s="21">
        <f t="shared" si="139"/>
        <v>0</v>
      </c>
      <c r="BO93" s="55"/>
      <c r="BP93" s="55"/>
      <c r="BQ93" s="21">
        <f t="shared" si="140"/>
        <v>0</v>
      </c>
      <c r="BR93" s="55"/>
      <c r="BS93" s="21">
        <f t="shared" si="141"/>
        <v>0</v>
      </c>
      <c r="BT93" s="56">
        <v>3.77</v>
      </c>
      <c r="BU93" s="56">
        <v>1.39</v>
      </c>
      <c r="BV93" s="21">
        <f t="shared" si="143"/>
        <v>2.6201499999999998</v>
      </c>
      <c r="BW93" s="77">
        <f t="shared" si="121"/>
        <v>3.77</v>
      </c>
      <c r="BX93" s="55"/>
      <c r="BY93" s="21">
        <f t="shared" si="144"/>
        <v>0</v>
      </c>
      <c r="BZ93" s="55"/>
      <c r="CA93" s="55"/>
      <c r="CB93" s="21">
        <f t="shared" si="145"/>
        <v>0</v>
      </c>
      <c r="CC93" s="54"/>
      <c r="CD93" s="54"/>
      <c r="CE93" s="21">
        <f t="shared" si="146"/>
        <v>0</v>
      </c>
      <c r="CF93" s="21"/>
      <c r="CG93" s="21"/>
      <c r="CH93" s="21">
        <f t="shared" si="122"/>
        <v>0</v>
      </c>
      <c r="CI93" s="25">
        <f t="shared" si="123"/>
        <v>2.6201499999999998</v>
      </c>
      <c r="CJ93" s="54">
        <v>0.24</v>
      </c>
      <c r="CK93" s="21">
        <f t="shared" si="107"/>
        <v>0.81359999999999999</v>
      </c>
      <c r="CL93" s="55"/>
      <c r="CM93" s="55"/>
      <c r="CN93" s="60"/>
      <c r="CO93" s="55"/>
      <c r="CP93" s="55"/>
      <c r="CQ93" s="55"/>
      <c r="CR93" s="55"/>
      <c r="CS93" s="55"/>
      <c r="CT93" s="55">
        <v>0.15</v>
      </c>
      <c r="CU93" s="55">
        <v>1.4</v>
      </c>
      <c r="CV93" s="55">
        <v>1.93</v>
      </c>
      <c r="CW93" s="55">
        <v>2.27</v>
      </c>
      <c r="CX93" s="55">
        <v>2.2999999999999998</v>
      </c>
      <c r="CY93" s="21">
        <f t="shared" si="124"/>
        <v>10.407541666666665</v>
      </c>
      <c r="CZ93" s="56"/>
      <c r="DA93" s="56"/>
      <c r="DB93" s="56"/>
      <c r="DC93" s="56"/>
      <c r="DD93" s="61">
        <f t="shared" si="125"/>
        <v>0</v>
      </c>
      <c r="DE93" s="21">
        <f t="shared" si="126"/>
        <v>0</v>
      </c>
      <c r="DF93" s="55"/>
      <c r="DG93" s="55"/>
      <c r="DH93" s="55"/>
      <c r="DI93" s="55"/>
      <c r="DJ93" s="104"/>
      <c r="DK93" s="53"/>
      <c r="DM93" s="58">
        <f t="shared" si="108"/>
        <v>436.15198023682683</v>
      </c>
      <c r="DN93" s="58">
        <f t="shared" si="109"/>
        <v>528.64</v>
      </c>
      <c r="DO93" s="21">
        <f t="shared" si="110"/>
        <v>1.2120545680268446</v>
      </c>
      <c r="DP93" s="62">
        <f t="shared" si="127"/>
        <v>1</v>
      </c>
      <c r="DQ93" s="7">
        <v>0</v>
      </c>
      <c r="DR93" s="107">
        <f t="shared" si="111"/>
        <v>0</v>
      </c>
    </row>
    <row r="94" spans="1:122" ht="12.75" customHeight="1" x14ac:dyDescent="0.2">
      <c r="A94" s="53" t="s">
        <v>254</v>
      </c>
      <c r="B94" s="54">
        <v>2</v>
      </c>
      <c r="C94" s="92">
        <f t="shared" si="147"/>
        <v>118.0489967060121</v>
      </c>
      <c r="D94" s="92">
        <f t="shared" si="148"/>
        <v>113.31853988761706</v>
      </c>
      <c r="E94" s="92">
        <f>VLOOKUP(A94,[3]TRTOTAL!$A$7:$D$313,3,FALSE)</f>
        <v>118.0489967060121</v>
      </c>
      <c r="F94" s="92">
        <f>VLOOKUP(A94,[3]TRTOTAL!$A$7:$D$313,4,FALSE)</f>
        <v>113.31853988761706</v>
      </c>
      <c r="G94" s="92">
        <f t="shared" si="112"/>
        <v>0</v>
      </c>
      <c r="H94" s="92">
        <f t="shared" si="113"/>
        <v>0</v>
      </c>
      <c r="I94" s="54">
        <v>5.08</v>
      </c>
      <c r="J94" s="56">
        <v>4.7220000000000004</v>
      </c>
      <c r="K94" s="54">
        <v>2.41</v>
      </c>
      <c r="L94" s="57">
        <v>2</v>
      </c>
      <c r="M94" s="57">
        <v>145.15</v>
      </c>
      <c r="N94" s="57"/>
      <c r="O94" s="87" t="s">
        <v>133</v>
      </c>
      <c r="P94" s="24">
        <f t="shared" si="87"/>
        <v>15.19</v>
      </c>
      <c r="Q94" s="24">
        <f t="shared" si="149"/>
        <v>7.3339999999999996</v>
      </c>
      <c r="R94" s="24">
        <f t="shared" si="150"/>
        <v>4.87</v>
      </c>
      <c r="S94" s="87">
        <v>7.92</v>
      </c>
      <c r="T94" s="21">
        <f t="shared" si="88"/>
        <v>4.5</v>
      </c>
      <c r="U94" s="21">
        <v>2.7349999999999999</v>
      </c>
      <c r="V94" s="24">
        <f t="shared" si="151"/>
        <v>2.7349999999999999</v>
      </c>
      <c r="W94" s="24">
        <f t="shared" si="118"/>
        <v>2.895</v>
      </c>
      <c r="X94" s="24">
        <f t="shared" si="89"/>
        <v>1.8124274775460043</v>
      </c>
      <c r="Y94" s="25">
        <f t="shared" si="128"/>
        <v>0.99615771165641775</v>
      </c>
      <c r="Z94" s="24">
        <f t="shared" si="119"/>
        <v>12.118221021719078</v>
      </c>
      <c r="AA94" s="21">
        <f t="shared" si="90"/>
        <v>0</v>
      </c>
      <c r="AB94" s="24">
        <f t="shared" si="120"/>
        <v>4.383</v>
      </c>
      <c r="AC94" s="24">
        <f t="shared" si="142"/>
        <v>18.578931021719079</v>
      </c>
      <c r="AD94" s="58">
        <f t="shared" si="92"/>
        <v>295.14999999999998</v>
      </c>
      <c r="AE94" s="58">
        <f t="shared" si="93"/>
        <v>301.14999999999998</v>
      </c>
      <c r="AF94" s="21">
        <f t="shared" si="94"/>
        <v>2.6474999999999995</v>
      </c>
      <c r="AG94" s="77">
        <f t="shared" si="95"/>
        <v>0</v>
      </c>
      <c r="AH94" s="114">
        <f t="shared" si="129"/>
        <v>1.04</v>
      </c>
      <c r="AI94" s="59">
        <f t="shared" si="96"/>
        <v>117.45058317787316</v>
      </c>
      <c r="AJ94" s="59">
        <f t="shared" si="97"/>
        <v>112.74410597331129</v>
      </c>
      <c r="AK94" s="55"/>
      <c r="AL94" s="55">
        <v>2.72</v>
      </c>
      <c r="AM94" s="21">
        <f t="shared" si="130"/>
        <v>0</v>
      </c>
      <c r="AN94" s="54">
        <v>7.3339999999999996</v>
      </c>
      <c r="AO94" s="55"/>
      <c r="AP94" s="21">
        <f t="shared" si="131"/>
        <v>0</v>
      </c>
      <c r="AQ94" s="55"/>
      <c r="AR94" s="55"/>
      <c r="AS94" s="21">
        <f t="shared" si="132"/>
        <v>0</v>
      </c>
      <c r="AT94" s="54"/>
      <c r="AU94" s="54"/>
      <c r="AV94" s="21">
        <f t="shared" si="133"/>
        <v>0</v>
      </c>
      <c r="AW94" s="54"/>
      <c r="AX94" s="54"/>
      <c r="AY94" s="21">
        <f t="shared" si="134"/>
        <v>0</v>
      </c>
      <c r="AZ94" s="54"/>
      <c r="BA94" s="54"/>
      <c r="BB94" s="21">
        <f t="shared" si="135"/>
        <v>0</v>
      </c>
      <c r="BC94" s="54"/>
      <c r="BD94" s="54"/>
      <c r="BE94" s="21">
        <f t="shared" si="136"/>
        <v>0</v>
      </c>
      <c r="BF94" s="55"/>
      <c r="BG94" s="55"/>
      <c r="BH94" s="21">
        <f t="shared" si="137"/>
        <v>0</v>
      </c>
      <c r="BI94" s="55"/>
      <c r="BJ94" s="55"/>
      <c r="BK94" s="21">
        <f t="shared" si="138"/>
        <v>0</v>
      </c>
      <c r="BL94" s="55"/>
      <c r="BM94" s="55"/>
      <c r="BN94" s="21">
        <f t="shared" si="139"/>
        <v>0</v>
      </c>
      <c r="BO94" s="55"/>
      <c r="BP94" s="55"/>
      <c r="BQ94" s="21">
        <f t="shared" si="140"/>
        <v>0</v>
      </c>
      <c r="BR94" s="55"/>
      <c r="BS94" s="21">
        <f t="shared" si="141"/>
        <v>0</v>
      </c>
      <c r="BT94" s="56"/>
      <c r="BU94" s="56"/>
      <c r="BV94" s="21">
        <f t="shared" si="143"/>
        <v>0</v>
      </c>
      <c r="BW94" s="77">
        <f t="shared" si="121"/>
        <v>0</v>
      </c>
      <c r="BX94" s="55"/>
      <c r="BY94" s="21">
        <f t="shared" si="144"/>
        <v>0</v>
      </c>
      <c r="BZ94" s="55"/>
      <c r="CA94" s="55"/>
      <c r="CB94" s="21">
        <f t="shared" si="145"/>
        <v>0</v>
      </c>
      <c r="CC94" s="54"/>
      <c r="CD94" s="54"/>
      <c r="CE94" s="21">
        <f t="shared" si="146"/>
        <v>0</v>
      </c>
      <c r="CF94" s="21"/>
      <c r="CG94" s="21"/>
      <c r="CH94" s="21">
        <f t="shared" si="122"/>
        <v>0</v>
      </c>
      <c r="CI94" s="25">
        <f t="shared" si="123"/>
        <v>4.87</v>
      </c>
      <c r="CJ94" s="54"/>
      <c r="CK94" s="21">
        <f t="shared" si="107"/>
        <v>0</v>
      </c>
      <c r="CL94" s="55"/>
      <c r="CM94" s="55"/>
      <c r="CN94" s="60"/>
      <c r="CO94" s="55"/>
      <c r="CP94" s="55"/>
      <c r="CQ94" s="55"/>
      <c r="CR94" s="55"/>
      <c r="CS94" s="55"/>
      <c r="CT94" s="55"/>
      <c r="CU94" s="55"/>
      <c r="CV94" s="55"/>
      <c r="CW94" s="55"/>
      <c r="CX94" s="55"/>
      <c r="CY94" s="21">
        <f t="shared" si="124"/>
        <v>0</v>
      </c>
      <c r="CZ94" s="56"/>
      <c r="DA94" s="56"/>
      <c r="DB94" s="56"/>
      <c r="DC94" s="56"/>
      <c r="DD94" s="61">
        <f t="shared" si="125"/>
        <v>0</v>
      </c>
      <c r="DE94" s="21">
        <f t="shared" si="126"/>
        <v>17.649999999999999</v>
      </c>
      <c r="DF94" s="55">
        <v>15.19</v>
      </c>
      <c r="DG94" s="55">
        <v>4.87</v>
      </c>
      <c r="DH94" s="55">
        <v>4.5</v>
      </c>
      <c r="DI94" s="55">
        <v>17.649999999999999</v>
      </c>
      <c r="DJ94" s="104"/>
      <c r="DK94" s="53" t="s">
        <v>512</v>
      </c>
      <c r="DM94" s="58">
        <f t="shared" si="108"/>
        <v>718.86223060377597</v>
      </c>
      <c r="DN94" s="58">
        <f t="shared" si="109"/>
        <v>686.4057499999999</v>
      </c>
      <c r="DO94" s="21">
        <f t="shared" si="110"/>
        <v>0.95485020742219862</v>
      </c>
      <c r="DP94" s="62">
        <f t="shared" si="127"/>
        <v>1.0050950238981162</v>
      </c>
      <c r="DQ94" s="7" t="s">
        <v>130</v>
      </c>
      <c r="DR94" s="107">
        <f t="shared" si="111"/>
        <v>0</v>
      </c>
    </row>
    <row r="95" spans="1:122" ht="12.75" customHeight="1" x14ac:dyDescent="0.2">
      <c r="A95" s="53" t="s">
        <v>255</v>
      </c>
      <c r="B95" s="54">
        <v>2</v>
      </c>
      <c r="C95" s="92">
        <f t="shared" si="147"/>
        <v>126.69443779307647</v>
      </c>
      <c r="D95" s="92">
        <f t="shared" si="148"/>
        <v>118.49061462970717</v>
      </c>
      <c r="E95" s="92">
        <f>VLOOKUP(A95,[3]TRTOTAL!$A$7:$D$313,3,FALSE)</f>
        <v>126.69443779307647</v>
      </c>
      <c r="F95" s="92">
        <f>VLOOKUP(A95,[3]TRTOTAL!$A$7:$D$313,4,FALSE)</f>
        <v>118.49061462970717</v>
      </c>
      <c r="G95" s="92">
        <f t="shared" si="112"/>
        <v>0</v>
      </c>
      <c r="H95" s="92">
        <f t="shared" si="113"/>
        <v>0</v>
      </c>
      <c r="I95" s="54">
        <v>5.08</v>
      </c>
      <c r="J95" s="56">
        <v>4.7220000000000004</v>
      </c>
      <c r="K95" s="54">
        <v>2.41</v>
      </c>
      <c r="L95" s="57">
        <v>2</v>
      </c>
      <c r="M95" s="57">
        <v>145</v>
      </c>
      <c r="N95" s="57"/>
      <c r="O95" s="87" t="s">
        <v>133</v>
      </c>
      <c r="P95" s="24">
        <f t="shared" si="87"/>
        <v>11.324333333333334</v>
      </c>
      <c r="Q95" s="24">
        <f t="shared" si="149"/>
        <v>7.4</v>
      </c>
      <c r="R95" s="24">
        <f t="shared" si="150"/>
        <v>3.70065</v>
      </c>
      <c r="S95" s="87">
        <v>7.92</v>
      </c>
      <c r="T95" s="21">
        <f t="shared" si="88"/>
        <v>4.7845999999999993</v>
      </c>
      <c r="U95" s="21"/>
      <c r="V95" s="24">
        <f t="shared" si="151"/>
        <v>1.78</v>
      </c>
      <c r="W95" s="24">
        <f t="shared" si="118"/>
        <v>1.93</v>
      </c>
      <c r="X95" s="24">
        <f t="shared" si="89"/>
        <v>3.0401711007901779</v>
      </c>
      <c r="Y95" s="25">
        <f t="shared" si="128"/>
        <v>1</v>
      </c>
      <c r="Z95" s="24">
        <f t="shared" si="119"/>
        <v>10.591484988463028</v>
      </c>
      <c r="AA95" s="21">
        <f t="shared" si="90"/>
        <v>1.5808663334614892</v>
      </c>
      <c r="AB95" s="24">
        <f t="shared" si="120"/>
        <v>3.0568846699489418</v>
      </c>
      <c r="AC95" s="24">
        <f t="shared" si="142"/>
        <v>16.400974651318606</v>
      </c>
      <c r="AD95" s="58">
        <f t="shared" si="92"/>
        <v>295</v>
      </c>
      <c r="AE95" s="58">
        <f t="shared" si="93"/>
        <v>301</v>
      </c>
      <c r="AF95" s="21">
        <f t="shared" si="94"/>
        <v>3.15</v>
      </c>
      <c r="AG95" s="77">
        <f t="shared" si="95"/>
        <v>0</v>
      </c>
      <c r="AH95" s="114">
        <f t="shared" si="129"/>
        <v>1.04</v>
      </c>
      <c r="AI95" s="59">
        <f t="shared" si="96"/>
        <v>126.69443779307647</v>
      </c>
      <c r="AJ95" s="59">
        <f t="shared" si="97"/>
        <v>118.49061462970717</v>
      </c>
      <c r="AK95" s="55">
        <v>7.4</v>
      </c>
      <c r="AL95" s="55">
        <v>1.78</v>
      </c>
      <c r="AM95" s="21">
        <f t="shared" si="130"/>
        <v>6.5860000000000003</v>
      </c>
      <c r="AN95" s="54">
        <v>7.4</v>
      </c>
      <c r="AO95" s="55">
        <v>7.0000000000000007E-2</v>
      </c>
      <c r="AP95" s="21">
        <f t="shared" si="131"/>
        <v>0.34533333333333344</v>
      </c>
      <c r="AQ95" s="55"/>
      <c r="AR95" s="55"/>
      <c r="AS95" s="21">
        <f t="shared" si="132"/>
        <v>0</v>
      </c>
      <c r="AT95" s="54">
        <v>7.07</v>
      </c>
      <c r="AU95" s="54">
        <v>0.63</v>
      </c>
      <c r="AV95" s="21">
        <f t="shared" si="133"/>
        <v>2.2270500000000002</v>
      </c>
      <c r="AW95" s="54">
        <v>1.35</v>
      </c>
      <c r="AX95" s="54">
        <v>0.09</v>
      </c>
      <c r="AY95" s="21">
        <f t="shared" si="134"/>
        <v>6.0749999999999998E-2</v>
      </c>
      <c r="AZ95" s="54">
        <v>5.91</v>
      </c>
      <c r="BA95" s="54">
        <v>0.22</v>
      </c>
      <c r="BB95" s="21">
        <f t="shared" si="135"/>
        <v>0.86680000000000001</v>
      </c>
      <c r="BC95" s="54"/>
      <c r="BD95" s="54"/>
      <c r="BE95" s="21">
        <f t="shared" si="136"/>
        <v>0</v>
      </c>
      <c r="BF95" s="55">
        <v>1.26</v>
      </c>
      <c r="BG95" s="55">
        <v>0.08</v>
      </c>
      <c r="BH95" s="21">
        <f t="shared" si="137"/>
        <v>5.04E-2</v>
      </c>
      <c r="BI95" s="55"/>
      <c r="BJ95" s="55"/>
      <c r="BK95" s="21">
        <f t="shared" si="138"/>
        <v>0</v>
      </c>
      <c r="BL95" s="55"/>
      <c r="BM95" s="55"/>
      <c r="BN95" s="21">
        <f t="shared" si="139"/>
        <v>0</v>
      </c>
      <c r="BO95" s="55"/>
      <c r="BP95" s="55"/>
      <c r="BQ95" s="21">
        <f t="shared" si="140"/>
        <v>0</v>
      </c>
      <c r="BR95" s="55"/>
      <c r="BS95" s="21">
        <f t="shared" si="141"/>
        <v>10.136333333333333</v>
      </c>
      <c r="BT95" s="56">
        <v>5.09</v>
      </c>
      <c r="BU95" s="56">
        <v>1.53</v>
      </c>
      <c r="BV95" s="21">
        <f t="shared" si="143"/>
        <v>3.89385</v>
      </c>
      <c r="BW95" s="77">
        <f t="shared" si="121"/>
        <v>5.09</v>
      </c>
      <c r="BX95" s="55"/>
      <c r="BY95" s="21">
        <f t="shared" si="144"/>
        <v>0</v>
      </c>
      <c r="BZ95" s="55">
        <v>4.83</v>
      </c>
      <c r="CA95" s="55">
        <v>-7.0000000000000007E-2</v>
      </c>
      <c r="CB95" s="21">
        <f t="shared" si="145"/>
        <v>-0.22540000000000002</v>
      </c>
      <c r="CC95" s="55">
        <v>1.61</v>
      </c>
      <c r="CD95" s="55">
        <v>0.03</v>
      </c>
      <c r="CE95" s="21">
        <f t="shared" si="146"/>
        <v>3.2199999999999999E-2</v>
      </c>
      <c r="CF95" s="21"/>
      <c r="CG95" s="21"/>
      <c r="CH95" s="21">
        <f t="shared" si="122"/>
        <v>0</v>
      </c>
      <c r="CI95" s="25">
        <f t="shared" si="123"/>
        <v>3.70065</v>
      </c>
      <c r="CJ95" s="54">
        <v>0.3</v>
      </c>
      <c r="CK95" s="21">
        <f t="shared" si="107"/>
        <v>1.1879999999999999</v>
      </c>
      <c r="CL95" s="55"/>
      <c r="CM95" s="55"/>
      <c r="CN95" s="60"/>
      <c r="CO95" s="55"/>
      <c r="CP95" s="55"/>
      <c r="CQ95" s="55"/>
      <c r="CR95" s="55"/>
      <c r="CS95" s="55"/>
      <c r="CT95" s="55"/>
      <c r="CU95" s="55"/>
      <c r="CV95" s="55"/>
      <c r="CW95" s="55"/>
      <c r="CX95" s="55"/>
      <c r="CY95" s="21">
        <f t="shared" si="124"/>
        <v>0</v>
      </c>
      <c r="CZ95" s="56"/>
      <c r="DA95" s="56"/>
      <c r="DB95" s="56"/>
      <c r="DC95" s="56"/>
      <c r="DD95" s="61">
        <f t="shared" si="125"/>
        <v>0</v>
      </c>
      <c r="DE95" s="21">
        <f t="shared" si="126"/>
        <v>0</v>
      </c>
      <c r="DF95" s="55"/>
      <c r="DG95" s="55"/>
      <c r="DH95" s="55"/>
      <c r="DI95" s="55"/>
      <c r="DJ95" s="104"/>
      <c r="DK95" s="53"/>
      <c r="DM95" s="58">
        <f t="shared" si="108"/>
        <v>544.02744767728984</v>
      </c>
      <c r="DN95" s="58">
        <f t="shared" si="109"/>
        <v>686.22500000000002</v>
      </c>
      <c r="DO95" s="21">
        <f t="shared" si="110"/>
        <v>1.2613793714449864</v>
      </c>
      <c r="DP95" s="62">
        <f t="shared" si="127"/>
        <v>1</v>
      </c>
      <c r="DQ95" s="7" t="s">
        <v>130</v>
      </c>
      <c r="DR95" s="107">
        <f t="shared" si="111"/>
        <v>0</v>
      </c>
    </row>
    <row r="96" spans="1:122" ht="12.75" customHeight="1" x14ac:dyDescent="0.2">
      <c r="A96" s="53" t="s">
        <v>256</v>
      </c>
      <c r="B96" s="54">
        <v>1</v>
      </c>
      <c r="C96" s="92">
        <f t="shared" si="147"/>
        <v>120.14612055931291</v>
      </c>
      <c r="D96" s="92">
        <f t="shared" si="148"/>
        <v>113.90824046136079</v>
      </c>
      <c r="E96" s="92">
        <f>VLOOKUP(A96,[3]TRTOTAL!$A$7:$D$313,3,FALSE)</f>
        <v>120.14612055931291</v>
      </c>
      <c r="F96" s="92">
        <f>VLOOKUP(A96,[3]TRTOTAL!$A$7:$D$313,4,FALSE)</f>
        <v>113.90824046136079</v>
      </c>
      <c r="G96" s="92">
        <f t="shared" si="112"/>
        <v>0</v>
      </c>
      <c r="H96" s="92">
        <f t="shared" si="113"/>
        <v>0</v>
      </c>
      <c r="I96" s="54">
        <v>5.23</v>
      </c>
      <c r="J96" s="56">
        <v>5.1040000000000001</v>
      </c>
      <c r="K96" s="54">
        <v>2.44</v>
      </c>
      <c r="L96" s="57">
        <v>1</v>
      </c>
      <c r="M96" s="57">
        <v>149.69999999999999</v>
      </c>
      <c r="N96" s="57"/>
      <c r="O96" s="87" t="s">
        <v>133</v>
      </c>
      <c r="P96" s="24">
        <f t="shared" ref="P96:P123" si="152">marea+areaMast+mssam+mareNoDet</f>
        <v>14.837943333333332</v>
      </c>
      <c r="Q96" s="24">
        <f t="shared" si="149"/>
        <v>7.9249999999999998</v>
      </c>
      <c r="R96" s="24">
        <f t="shared" ref="R96:R123" si="153">CI96</f>
        <v>0</v>
      </c>
      <c r="S96" s="87">
        <v>8.4</v>
      </c>
      <c r="T96" s="21">
        <f t="shared" ref="T96:T123" si="154">IF(gs_1,gs_1*0.94,VlgNoDetails)</f>
        <v>0</v>
      </c>
      <c r="U96" s="21"/>
      <c r="V96" s="24">
        <f t="shared" ref="V96:V123" si="155">IF(e_sp,e_sp,(IF(mfoot,MAX(CU96:CX96),IF(mainh1,mainh1,vlm*0.3))))</f>
        <v>2.3199999999999998</v>
      </c>
      <c r="W96" s="24">
        <f t="shared" ref="W96:W123" si="156">IF(circMast,circMast/2,0.16)+V96</f>
        <v>2.4749999999999996</v>
      </c>
      <c r="X96" s="24">
        <f t="shared" ref="X96:X123" si="157">msam/e^2</f>
        <v>2.4222741897085336</v>
      </c>
      <c r="Y96" s="25">
        <f t="shared" si="128"/>
        <v>1</v>
      </c>
      <c r="Z96" s="24">
        <f t="shared" si="119"/>
        <v>12.963297900038949</v>
      </c>
      <c r="AA96" s="21">
        <f t="shared" ref="AA96:AA123" si="158">IF(lpg,msag/lpg^2,0)</f>
        <v>0</v>
      </c>
      <c r="AB96" s="24">
        <f t="shared" si="120"/>
        <v>0</v>
      </c>
      <c r="AC96" s="24">
        <f t="shared" si="142"/>
        <v>15.51329790003895</v>
      </c>
      <c r="AD96" s="58">
        <f t="shared" ref="AD96:AD123" si="159">IF(wsex,wsex,wsin-6)+crew*(IF(AND(crew=1,msam+msag&gt;=11),75,IF(loa&lt;=4,65,IF(loa&lt;=4.8,70,75))))</f>
        <v>224.7</v>
      </c>
      <c r="AE96" s="58">
        <f t="shared" ref="AE96:AE123" si="160">IF(wsin,wsin,wsex+6)+crew*(IF(AND(crew=1,msam+msag&gt;=11),75,IF(loa&lt;=4,65,IF(loa&lt;=4.8,70,75))))</f>
        <v>230.7</v>
      </c>
      <c r="AF96" s="21">
        <f t="shared" si="94"/>
        <v>2.5499999999999998</v>
      </c>
      <c r="AG96" s="77">
        <f t="shared" si="95"/>
        <v>0</v>
      </c>
      <c r="AH96" s="114">
        <f t="shared" si="129"/>
        <v>1.04</v>
      </c>
      <c r="AI96" s="59">
        <f t="shared" si="96"/>
        <v>115.65038882218141</v>
      </c>
      <c r="AJ96" s="59">
        <f t="shared" si="97"/>
        <v>108.5603199322817</v>
      </c>
      <c r="AK96" s="55">
        <v>7.9249999999999998</v>
      </c>
      <c r="AL96" s="55">
        <v>2.3199999999999998</v>
      </c>
      <c r="AM96" s="21">
        <f t="shared" si="130"/>
        <v>9.1929999999999996</v>
      </c>
      <c r="AN96" s="54">
        <v>7.9249999999999998</v>
      </c>
      <c r="AO96" s="55">
        <v>0.16</v>
      </c>
      <c r="AP96" s="21">
        <f t="shared" si="131"/>
        <v>0.84533333333333338</v>
      </c>
      <c r="AQ96" s="55"/>
      <c r="AR96" s="55"/>
      <c r="AS96" s="21">
        <f t="shared" si="132"/>
        <v>0</v>
      </c>
      <c r="AT96" s="54">
        <v>7.6749999999999998</v>
      </c>
      <c r="AU96" s="54">
        <v>0.56699999999999995</v>
      </c>
      <c r="AV96" s="21">
        <f t="shared" si="133"/>
        <v>2.1758624999999996</v>
      </c>
      <c r="AW96" s="54">
        <v>1.8260000000000001</v>
      </c>
      <c r="AX96" s="54">
        <v>9.0999999999999998E-2</v>
      </c>
      <c r="AY96" s="21">
        <f t="shared" si="134"/>
        <v>8.3083000000000004E-2</v>
      </c>
      <c r="AZ96" s="54">
        <v>6.0179999999999998</v>
      </c>
      <c r="BA96" s="54">
        <v>0.29799999999999999</v>
      </c>
      <c r="BB96" s="21">
        <f t="shared" si="135"/>
        <v>1.195576</v>
      </c>
      <c r="BC96" s="54"/>
      <c r="BD96" s="54"/>
      <c r="BE96" s="21">
        <f t="shared" si="136"/>
        <v>0</v>
      </c>
      <c r="BF96" s="55">
        <v>0.94699999999999995</v>
      </c>
      <c r="BG96" s="55">
        <v>9.0999999999999998E-2</v>
      </c>
      <c r="BH96" s="21">
        <f t="shared" si="137"/>
        <v>4.3088499999999995E-2</v>
      </c>
      <c r="BI96" s="55"/>
      <c r="BJ96" s="55"/>
      <c r="BK96" s="21">
        <f t="shared" si="138"/>
        <v>0</v>
      </c>
      <c r="BL96" s="55"/>
      <c r="BM96" s="55"/>
      <c r="BN96" s="21">
        <f t="shared" si="139"/>
        <v>0</v>
      </c>
      <c r="BO96" s="55"/>
      <c r="BP96" s="55"/>
      <c r="BQ96" s="21">
        <f t="shared" si="140"/>
        <v>0</v>
      </c>
      <c r="BR96" s="55"/>
      <c r="BS96" s="21">
        <f t="shared" si="141"/>
        <v>13.535943333333332</v>
      </c>
      <c r="BT96" s="56">
        <v>0</v>
      </c>
      <c r="BU96" s="56"/>
      <c r="BV96" s="21">
        <f t="shared" si="143"/>
        <v>0</v>
      </c>
      <c r="BW96" s="77">
        <f t="shared" si="121"/>
        <v>0</v>
      </c>
      <c r="BX96" s="55"/>
      <c r="BY96" s="21">
        <f t="shared" si="144"/>
        <v>0</v>
      </c>
      <c r="BZ96" s="55"/>
      <c r="CA96" s="55"/>
      <c r="CB96" s="21">
        <f t="shared" si="145"/>
        <v>0</v>
      </c>
      <c r="CC96" s="55"/>
      <c r="CD96" s="55"/>
      <c r="CE96" s="21">
        <f t="shared" si="146"/>
        <v>0</v>
      </c>
      <c r="CF96" s="21"/>
      <c r="CG96" s="21"/>
      <c r="CH96" s="21">
        <f t="shared" si="122"/>
        <v>0</v>
      </c>
      <c r="CI96" s="25">
        <f t="shared" si="123"/>
        <v>0</v>
      </c>
      <c r="CJ96" s="54">
        <v>0.31</v>
      </c>
      <c r="CK96" s="21">
        <f t="shared" ref="CK96:CK130" si="161">MastLength*circMast*0.5</f>
        <v>1.302</v>
      </c>
      <c r="CL96" s="55">
        <v>2301</v>
      </c>
      <c r="CM96" s="55"/>
      <c r="CN96" s="60"/>
      <c r="CO96" s="55"/>
      <c r="CP96" s="55"/>
      <c r="CQ96" s="55"/>
      <c r="CR96" s="55"/>
      <c r="CS96" s="55"/>
      <c r="CT96" s="55"/>
      <c r="CU96" s="55"/>
      <c r="CV96" s="55"/>
      <c r="CW96" s="55"/>
      <c r="CX96" s="55"/>
      <c r="CY96" s="21">
        <f t="shared" ref="CY96:CY123" si="162">(CT96+4*CU96+2*CV96+4*CW96+CX96)*AN96/12</f>
        <v>0</v>
      </c>
      <c r="CZ96" s="56"/>
      <c r="DA96" s="56"/>
      <c r="DB96" s="56"/>
      <c r="DC96" s="56"/>
      <c r="DD96" s="61">
        <f t="shared" si="125"/>
        <v>0</v>
      </c>
      <c r="DE96" s="21">
        <f t="shared" si="126"/>
        <v>0</v>
      </c>
      <c r="DF96" s="55"/>
      <c r="DG96" s="55"/>
      <c r="DH96" s="55"/>
      <c r="DI96" s="55"/>
      <c r="DJ96" s="104"/>
      <c r="DK96" s="53"/>
      <c r="DM96" s="58">
        <f t="shared" si="108"/>
        <v>623.22891768663669</v>
      </c>
      <c r="DN96" s="58">
        <f t="shared" ref="DN96:DN123" si="163">IF(wsex,0.5*wsex*width+(rwex-wsex)*width+trapeze*(rwex-wsex)/crew,0.5*(wsin-6)*width+(rwin-wsin)*width+trapeze*(rwin-wsin)/crew)</f>
        <v>440.63400000000001</v>
      </c>
      <c r="DO96" s="21">
        <f t="shared" ref="DO96:DO123" si="164">righting/heeling</f>
        <v>0.70701789903393653</v>
      </c>
      <c r="DP96" s="62">
        <f t="shared" ref="DP96:DP123" si="165">IF((1/DO96)^$DP$5&lt;1,1,(1/DO96)^$DP$5)</f>
        <v>1.0388734684156049</v>
      </c>
      <c r="DQ96" s="7" t="s">
        <v>130</v>
      </c>
      <c r="DR96" s="107">
        <f t="shared" si="111"/>
        <v>0</v>
      </c>
    </row>
    <row r="97" spans="1:122" ht="12" customHeight="1" x14ac:dyDescent="0.2">
      <c r="A97" s="53" t="s">
        <v>257</v>
      </c>
      <c r="B97" s="54">
        <v>1</v>
      </c>
      <c r="C97" s="92">
        <f t="shared" si="147"/>
        <v>111.57272378627744</v>
      </c>
      <c r="D97" s="92">
        <f t="shared" si="148"/>
        <v>108.29101790248757</v>
      </c>
      <c r="E97" s="92">
        <f>VLOOKUP(A97,[3]TRTOTAL!$A$7:$D$313,3,FALSE)</f>
        <v>111.57272378627744</v>
      </c>
      <c r="F97" s="92">
        <f>VLOOKUP(A97,[3]TRTOTAL!$A$7:$D$313,4,FALSE)</f>
        <v>108.29101790248757</v>
      </c>
      <c r="G97" s="92">
        <f t="shared" si="112"/>
        <v>0</v>
      </c>
      <c r="H97" s="92">
        <f t="shared" si="113"/>
        <v>0</v>
      </c>
      <c r="I97" s="54">
        <v>5.23</v>
      </c>
      <c r="J97" s="56">
        <v>5.12</v>
      </c>
      <c r="K97" s="54">
        <v>2.44</v>
      </c>
      <c r="L97" s="57">
        <v>1</v>
      </c>
      <c r="M97" s="57">
        <v>153</v>
      </c>
      <c r="N97" s="57"/>
      <c r="O97" s="87" t="s">
        <v>133</v>
      </c>
      <c r="P97" s="24">
        <f t="shared" si="152"/>
        <v>14.837943333333332</v>
      </c>
      <c r="Q97" s="24">
        <f t="shared" si="149"/>
        <v>7.9249999999999998</v>
      </c>
      <c r="R97" s="24">
        <f t="shared" si="153"/>
        <v>4.1143674999999993</v>
      </c>
      <c r="S97" s="87">
        <v>8.4</v>
      </c>
      <c r="T97" s="21">
        <f t="shared" si="154"/>
        <v>5.0337000000000005</v>
      </c>
      <c r="U97" s="21"/>
      <c r="V97" s="24">
        <f t="shared" si="155"/>
        <v>2.3199999999999998</v>
      </c>
      <c r="W97" s="24">
        <f t="shared" si="156"/>
        <v>2.4749999999999996</v>
      </c>
      <c r="X97" s="24">
        <f t="shared" si="157"/>
        <v>2.4222741897085336</v>
      </c>
      <c r="Y97" s="25">
        <f t="shared" si="128"/>
        <v>1</v>
      </c>
      <c r="Z97" s="24">
        <f t="shared" si="119"/>
        <v>12.963297900038949</v>
      </c>
      <c r="AA97" s="21">
        <f t="shared" si="158"/>
        <v>1.6460360439293138</v>
      </c>
      <c r="AB97" s="24">
        <f t="shared" si="120"/>
        <v>3.4400707889653068</v>
      </c>
      <c r="AC97" s="24">
        <f t="shared" si="142"/>
        <v>18.506159486438769</v>
      </c>
      <c r="AD97" s="58">
        <f t="shared" si="159"/>
        <v>228</v>
      </c>
      <c r="AE97" s="58">
        <f t="shared" si="160"/>
        <v>234</v>
      </c>
      <c r="AF97" s="21">
        <f t="shared" si="94"/>
        <v>2.5499999999999998</v>
      </c>
      <c r="AG97" s="77">
        <f t="shared" si="95"/>
        <v>0</v>
      </c>
      <c r="AH97" s="114">
        <f t="shared" si="129"/>
        <v>1.04</v>
      </c>
      <c r="AI97" s="59">
        <f t="shared" si="96"/>
        <v>105.65988103574323</v>
      </c>
      <c r="AJ97" s="59">
        <f t="shared" si="97"/>
        <v>101.53672328289665</v>
      </c>
      <c r="AK97" s="55">
        <v>7.9249999999999998</v>
      </c>
      <c r="AL97" s="55">
        <v>2.3199999999999998</v>
      </c>
      <c r="AM97" s="21">
        <f t="shared" si="130"/>
        <v>9.1929999999999996</v>
      </c>
      <c r="AN97" s="54">
        <v>7.9249999999999998</v>
      </c>
      <c r="AO97" s="55">
        <v>0.16</v>
      </c>
      <c r="AP97" s="21">
        <f t="shared" si="131"/>
        <v>0.84533333333333338</v>
      </c>
      <c r="AQ97" s="55"/>
      <c r="AR97" s="55"/>
      <c r="AS97" s="21">
        <f t="shared" si="132"/>
        <v>0</v>
      </c>
      <c r="AT97" s="54">
        <v>7.6749999999999998</v>
      </c>
      <c r="AU97" s="54">
        <v>0.56699999999999995</v>
      </c>
      <c r="AV97" s="21">
        <f t="shared" si="133"/>
        <v>2.1758624999999996</v>
      </c>
      <c r="AW97" s="54">
        <v>1.8260000000000001</v>
      </c>
      <c r="AX97" s="54">
        <v>9.0999999999999998E-2</v>
      </c>
      <c r="AY97" s="21">
        <f t="shared" si="134"/>
        <v>8.3083000000000004E-2</v>
      </c>
      <c r="AZ97" s="54">
        <v>6.0179999999999998</v>
      </c>
      <c r="BA97" s="54">
        <v>0.29799999999999999</v>
      </c>
      <c r="BB97" s="21">
        <f t="shared" si="135"/>
        <v>1.195576</v>
      </c>
      <c r="BC97" s="54"/>
      <c r="BD97" s="54"/>
      <c r="BE97" s="21">
        <f t="shared" si="136"/>
        <v>0</v>
      </c>
      <c r="BF97" s="55">
        <v>0.94699999999999995</v>
      </c>
      <c r="BG97" s="55">
        <v>9.0999999999999998E-2</v>
      </c>
      <c r="BH97" s="21">
        <f t="shared" si="137"/>
        <v>4.3088499999999995E-2</v>
      </c>
      <c r="BI97" s="55"/>
      <c r="BJ97" s="55"/>
      <c r="BK97" s="21">
        <f t="shared" si="138"/>
        <v>0</v>
      </c>
      <c r="BL97" s="55"/>
      <c r="BM97" s="55"/>
      <c r="BN97" s="21">
        <f t="shared" si="139"/>
        <v>0</v>
      </c>
      <c r="BO97" s="55"/>
      <c r="BP97" s="55"/>
      <c r="BQ97" s="21">
        <f t="shared" si="140"/>
        <v>0</v>
      </c>
      <c r="BR97" s="55"/>
      <c r="BS97" s="21">
        <f t="shared" si="141"/>
        <v>13.535943333333332</v>
      </c>
      <c r="BT97" s="56">
        <v>5.3550000000000004</v>
      </c>
      <c r="BU97" s="56">
        <v>1.581</v>
      </c>
      <c r="BV97" s="21">
        <f t="shared" si="143"/>
        <v>4.2331275000000002</v>
      </c>
      <c r="BW97" s="77">
        <f t="shared" si="121"/>
        <v>5.3550000000000004</v>
      </c>
      <c r="BX97" s="55">
        <v>3.7999999999999999E-2</v>
      </c>
      <c r="BY97" s="21">
        <f t="shared" si="144"/>
        <v>0.13566</v>
      </c>
      <c r="BZ97" s="55">
        <v>5.1230000000000002</v>
      </c>
      <c r="CA97" s="55">
        <v>-0.09</v>
      </c>
      <c r="CB97" s="21">
        <f t="shared" si="145"/>
        <v>-0.30737999999999999</v>
      </c>
      <c r="CC97" s="54">
        <v>1.655</v>
      </c>
      <c r="CD97" s="54">
        <v>4.8000000000000001E-2</v>
      </c>
      <c r="CE97" s="21">
        <f t="shared" si="146"/>
        <v>5.296E-2</v>
      </c>
      <c r="CF97" s="21"/>
      <c r="CG97" s="21"/>
      <c r="CH97" s="21">
        <f t="shared" si="122"/>
        <v>0</v>
      </c>
      <c r="CI97" s="25">
        <f t="shared" si="123"/>
        <v>4.1143674999999993</v>
      </c>
      <c r="CJ97" s="54">
        <v>0.31</v>
      </c>
      <c r="CK97" s="21">
        <f t="shared" si="161"/>
        <v>1.302</v>
      </c>
      <c r="CL97" s="55">
        <v>2301</v>
      </c>
      <c r="CM97" s="55"/>
      <c r="CN97" s="60"/>
      <c r="CO97" s="55"/>
      <c r="CP97" s="55"/>
      <c r="CQ97" s="55"/>
      <c r="CR97" s="55"/>
      <c r="CS97" s="55"/>
      <c r="CT97" s="55"/>
      <c r="CU97" s="55"/>
      <c r="CV97" s="55"/>
      <c r="CW97" s="55"/>
      <c r="CX97" s="55"/>
      <c r="CY97" s="21">
        <f t="shared" si="162"/>
        <v>0</v>
      </c>
      <c r="CZ97" s="56"/>
      <c r="DA97" s="56"/>
      <c r="DB97" s="56"/>
      <c r="DC97" s="56"/>
      <c r="DD97" s="61">
        <f t="shared" si="125"/>
        <v>0</v>
      </c>
      <c r="DE97" s="21">
        <f t="shared" si="126"/>
        <v>0</v>
      </c>
      <c r="DF97" s="55"/>
      <c r="DG97" s="55"/>
      <c r="DH97" s="55"/>
      <c r="DI97" s="55"/>
      <c r="DJ97" s="104"/>
      <c r="DK97" s="53"/>
      <c r="DM97" s="58">
        <f t="shared" si="108"/>
        <v>729.47285801302337</v>
      </c>
      <c r="DN97" s="58">
        <f t="shared" si="163"/>
        <v>444.65999999999997</v>
      </c>
      <c r="DO97" s="21">
        <f t="shared" si="164"/>
        <v>0.60956346095067648</v>
      </c>
      <c r="DP97" s="62">
        <f t="shared" si="165"/>
        <v>1.0559610960430097</v>
      </c>
      <c r="DQ97" s="7">
        <v>0</v>
      </c>
      <c r="DR97" s="107">
        <f t="shared" si="111"/>
        <v>0</v>
      </c>
    </row>
    <row r="98" spans="1:122" ht="12.75" customHeight="1" x14ac:dyDescent="0.2">
      <c r="A98" s="53" t="s">
        <v>258</v>
      </c>
      <c r="B98" s="54">
        <v>2</v>
      </c>
      <c r="C98" s="92">
        <f t="shared" si="147"/>
        <v>107.12182632615098</v>
      </c>
      <c r="D98" s="92">
        <f t="shared" si="148"/>
        <v>102.80884927340379</v>
      </c>
      <c r="E98" s="92">
        <f>VLOOKUP(A98,[3]TRTOTAL!$A$7:$D$313,3,FALSE)</f>
        <v>107.12182632615098</v>
      </c>
      <c r="F98" s="92">
        <f>VLOOKUP(A98,[3]TRTOTAL!$A$7:$D$313,4,FALSE)</f>
        <v>102.80884927340379</v>
      </c>
      <c r="G98" s="92">
        <f t="shared" si="112"/>
        <v>0</v>
      </c>
      <c r="H98" s="92">
        <f t="shared" si="113"/>
        <v>0</v>
      </c>
      <c r="I98" s="54">
        <v>5.52</v>
      </c>
      <c r="J98" s="56">
        <v>5.3879999999999999</v>
      </c>
      <c r="K98" s="54">
        <v>2.44</v>
      </c>
      <c r="L98" s="57">
        <v>2</v>
      </c>
      <c r="M98" s="57">
        <v>181.4</v>
      </c>
      <c r="N98" s="57"/>
      <c r="O98" s="87"/>
      <c r="P98" s="24">
        <f t="shared" si="152"/>
        <v>16</v>
      </c>
      <c r="Q98" s="24">
        <f t="shared" si="149"/>
        <v>7.65</v>
      </c>
      <c r="R98" s="24">
        <f t="shared" si="153"/>
        <v>6.32</v>
      </c>
      <c r="S98" s="87">
        <v>8.56</v>
      </c>
      <c r="T98" s="21">
        <f t="shared" si="154"/>
        <v>5.7</v>
      </c>
      <c r="U98" s="21"/>
      <c r="V98" s="24">
        <f t="shared" si="155"/>
        <v>2.5049999999999999</v>
      </c>
      <c r="W98" s="24">
        <f t="shared" si="156"/>
        <v>2.665</v>
      </c>
      <c r="X98" s="24">
        <f t="shared" si="157"/>
        <v>2.2528151389177338</v>
      </c>
      <c r="Y98" s="25">
        <f t="shared" si="128"/>
        <v>1</v>
      </c>
      <c r="Z98" s="24">
        <f t="shared" si="119"/>
        <v>13.67768041819364</v>
      </c>
      <c r="AA98" s="21">
        <f t="shared" si="158"/>
        <v>0</v>
      </c>
      <c r="AB98" s="24">
        <f t="shared" si="120"/>
        <v>5.6880000000000006</v>
      </c>
      <c r="AC98" s="24">
        <f t="shared" si="142"/>
        <v>21.776240418193641</v>
      </c>
      <c r="AD98" s="58">
        <f t="shared" si="159"/>
        <v>331.4</v>
      </c>
      <c r="AE98" s="58">
        <f t="shared" si="160"/>
        <v>337.4</v>
      </c>
      <c r="AF98" s="21">
        <f t="shared" si="94"/>
        <v>3.15</v>
      </c>
      <c r="AG98" s="77">
        <f t="shared" si="95"/>
        <v>0</v>
      </c>
      <c r="AH98" s="114">
        <f t="shared" si="129"/>
        <v>1</v>
      </c>
      <c r="AI98" s="59">
        <f t="shared" si="96"/>
        <v>105.7244277412383</v>
      </c>
      <c r="AJ98" s="59">
        <f t="shared" si="97"/>
        <v>101.46771324708416</v>
      </c>
      <c r="AK98" s="55"/>
      <c r="AL98" s="55">
        <v>2.5049999999999999</v>
      </c>
      <c r="AM98" s="21">
        <f t="shared" si="130"/>
        <v>0</v>
      </c>
      <c r="AN98" s="54">
        <v>7.65</v>
      </c>
      <c r="AO98" s="55"/>
      <c r="AP98" s="21">
        <f t="shared" si="131"/>
        <v>0</v>
      </c>
      <c r="AQ98" s="55"/>
      <c r="AR98" s="55"/>
      <c r="AS98" s="21">
        <f t="shared" si="132"/>
        <v>0</v>
      </c>
      <c r="AT98" s="54"/>
      <c r="AU98" s="54"/>
      <c r="AV98" s="21">
        <f t="shared" si="133"/>
        <v>0</v>
      </c>
      <c r="AW98" s="54"/>
      <c r="AX98" s="54"/>
      <c r="AY98" s="21">
        <f t="shared" si="134"/>
        <v>0</v>
      </c>
      <c r="AZ98" s="54"/>
      <c r="BA98" s="54"/>
      <c r="BB98" s="21">
        <f t="shared" si="135"/>
        <v>0</v>
      </c>
      <c r="BC98" s="54"/>
      <c r="BD98" s="54"/>
      <c r="BE98" s="21">
        <f t="shared" si="136"/>
        <v>0</v>
      </c>
      <c r="BF98" s="55"/>
      <c r="BG98" s="55"/>
      <c r="BH98" s="21">
        <f t="shared" si="137"/>
        <v>0</v>
      </c>
      <c r="BI98" s="55"/>
      <c r="BJ98" s="55"/>
      <c r="BK98" s="21">
        <f t="shared" si="138"/>
        <v>0</v>
      </c>
      <c r="BL98" s="55"/>
      <c r="BM98" s="55"/>
      <c r="BN98" s="21">
        <f t="shared" si="139"/>
        <v>0</v>
      </c>
      <c r="BO98" s="55"/>
      <c r="BP98" s="55"/>
      <c r="BQ98" s="21">
        <f t="shared" si="140"/>
        <v>0</v>
      </c>
      <c r="BR98" s="55"/>
      <c r="BS98" s="21">
        <f t="shared" si="141"/>
        <v>0</v>
      </c>
      <c r="BT98" s="56"/>
      <c r="BU98" s="56"/>
      <c r="BV98" s="21">
        <f t="shared" si="143"/>
        <v>0</v>
      </c>
      <c r="BW98" s="77">
        <f t="shared" si="121"/>
        <v>0</v>
      </c>
      <c r="BX98" s="55"/>
      <c r="BY98" s="21">
        <f t="shared" si="144"/>
        <v>0</v>
      </c>
      <c r="BZ98" s="55"/>
      <c r="CA98" s="55"/>
      <c r="CB98" s="21">
        <f t="shared" si="145"/>
        <v>0</v>
      </c>
      <c r="CC98" s="54"/>
      <c r="CD98" s="54"/>
      <c r="CE98" s="21">
        <f t="shared" si="146"/>
        <v>0</v>
      </c>
      <c r="CF98" s="21"/>
      <c r="CG98" s="21"/>
      <c r="CH98" s="21">
        <f t="shared" si="122"/>
        <v>0</v>
      </c>
      <c r="CI98" s="25">
        <f t="shared" si="123"/>
        <v>6.32</v>
      </c>
      <c r="CJ98" s="54"/>
      <c r="CK98" s="21">
        <f t="shared" si="161"/>
        <v>0</v>
      </c>
      <c r="CL98" s="55"/>
      <c r="CM98" s="55"/>
      <c r="CN98" s="60"/>
      <c r="CO98" s="55" t="s">
        <v>517</v>
      </c>
      <c r="CP98" s="55"/>
      <c r="CQ98" s="55"/>
      <c r="CR98" s="55"/>
      <c r="CS98" s="55"/>
      <c r="CT98" s="55"/>
      <c r="CU98" s="55"/>
      <c r="CV98" s="55"/>
      <c r="CW98" s="55"/>
      <c r="CX98" s="55"/>
      <c r="CY98" s="21">
        <f t="shared" si="162"/>
        <v>0</v>
      </c>
      <c r="CZ98" s="56"/>
      <c r="DA98" s="56"/>
      <c r="DB98" s="56"/>
      <c r="DC98" s="56"/>
      <c r="DD98" s="61">
        <f t="shared" si="125"/>
        <v>0</v>
      </c>
      <c r="DE98" s="21">
        <f t="shared" si="126"/>
        <v>0</v>
      </c>
      <c r="DF98" s="55">
        <v>16</v>
      </c>
      <c r="DG98" s="55">
        <v>6.32</v>
      </c>
      <c r="DH98" s="55">
        <v>5.7</v>
      </c>
      <c r="DI98" s="55"/>
      <c r="DJ98" s="104"/>
      <c r="DK98" s="53"/>
      <c r="DM98" s="58">
        <f t="shared" si="108"/>
        <v>830.78949058559988</v>
      </c>
      <c r="DN98" s="58">
        <f t="shared" si="163"/>
        <v>737.30799999999999</v>
      </c>
      <c r="DO98" s="21">
        <f t="shared" si="164"/>
        <v>0.88747872758993684</v>
      </c>
      <c r="DP98" s="62">
        <f t="shared" si="165"/>
        <v>1.0132173672136853</v>
      </c>
      <c r="DQ98" s="7" t="s">
        <v>130</v>
      </c>
      <c r="DR98" s="107">
        <f t="shared" si="111"/>
        <v>0</v>
      </c>
    </row>
    <row r="99" spans="1:122" ht="12.75" customHeight="1" x14ac:dyDescent="0.2">
      <c r="A99" s="53" t="s">
        <v>259</v>
      </c>
      <c r="B99" s="54">
        <v>2</v>
      </c>
      <c r="C99" s="92">
        <f t="shared" si="147"/>
        <v>105.82865138543312</v>
      </c>
      <c r="D99" s="92">
        <f t="shared" si="148"/>
        <v>101.70688028676608</v>
      </c>
      <c r="E99" s="92">
        <f>VLOOKUP(A99,[3]TRTOTAL!$A$7:$D$313,3,FALSE)</f>
        <v>105.82865138543312</v>
      </c>
      <c r="F99" s="92">
        <f>VLOOKUP(A99,[3]TRTOTAL!$A$7:$D$313,4,FALSE)</f>
        <v>101.70688028676608</v>
      </c>
      <c r="G99" s="92">
        <f t="shared" si="112"/>
        <v>0</v>
      </c>
      <c r="H99" s="92">
        <f t="shared" si="113"/>
        <v>0</v>
      </c>
      <c r="I99" s="54">
        <v>5.52</v>
      </c>
      <c r="J99" s="56">
        <v>5.3879999999999999</v>
      </c>
      <c r="K99" s="54">
        <v>2.44</v>
      </c>
      <c r="L99" s="57">
        <v>2</v>
      </c>
      <c r="M99" s="57"/>
      <c r="N99" s="57">
        <v>190</v>
      </c>
      <c r="O99" s="87"/>
      <c r="P99" s="24">
        <f t="shared" si="152"/>
        <v>17.47</v>
      </c>
      <c r="Q99" s="24">
        <f t="shared" si="149"/>
        <v>8.32</v>
      </c>
      <c r="R99" s="24">
        <f t="shared" si="153"/>
        <v>5.72</v>
      </c>
      <c r="S99" s="87">
        <v>9</v>
      </c>
      <c r="T99" s="21">
        <f t="shared" si="154"/>
        <v>5.15</v>
      </c>
      <c r="U99" s="21"/>
      <c r="V99" s="24">
        <f t="shared" si="155"/>
        <v>2.4750000000000001</v>
      </c>
      <c r="W99" s="24">
        <f t="shared" si="156"/>
        <v>2.6350000000000002</v>
      </c>
      <c r="X99" s="24">
        <f t="shared" si="157"/>
        <v>2.516121830993522</v>
      </c>
      <c r="Y99" s="25">
        <f t="shared" si="128"/>
        <v>1</v>
      </c>
      <c r="Z99" s="24">
        <f t="shared" si="119"/>
        <v>15.437863884818848</v>
      </c>
      <c r="AA99" s="21">
        <f t="shared" si="158"/>
        <v>0</v>
      </c>
      <c r="AB99" s="24">
        <f t="shared" si="120"/>
        <v>5.1479999999999997</v>
      </c>
      <c r="AC99" s="24">
        <f t="shared" si="142"/>
        <v>23.066623884818849</v>
      </c>
      <c r="AD99" s="58">
        <f t="shared" si="159"/>
        <v>334</v>
      </c>
      <c r="AE99" s="58">
        <f t="shared" si="160"/>
        <v>340</v>
      </c>
      <c r="AF99" s="21">
        <f t="shared" si="94"/>
        <v>3.15</v>
      </c>
      <c r="AG99" s="77">
        <f t="shared" si="95"/>
        <v>0</v>
      </c>
      <c r="AH99" s="114">
        <f t="shared" si="129"/>
        <v>1</v>
      </c>
      <c r="AI99" s="59">
        <f t="shared" si="96"/>
        <v>103.43412538304963</v>
      </c>
      <c r="AJ99" s="59">
        <f t="shared" si="97"/>
        <v>99.405615305310519</v>
      </c>
      <c r="AK99" s="55"/>
      <c r="AL99" s="55">
        <v>2.4750000000000001</v>
      </c>
      <c r="AM99" s="21">
        <f t="shared" si="130"/>
        <v>0</v>
      </c>
      <c r="AN99" s="54">
        <v>8.32</v>
      </c>
      <c r="AO99" s="55"/>
      <c r="AP99" s="21">
        <f t="shared" si="131"/>
        <v>0</v>
      </c>
      <c r="AQ99" s="55"/>
      <c r="AR99" s="55"/>
      <c r="AS99" s="21">
        <f t="shared" si="132"/>
        <v>0</v>
      </c>
      <c r="AT99" s="54"/>
      <c r="AU99" s="54"/>
      <c r="AV99" s="21">
        <f t="shared" si="133"/>
        <v>0</v>
      </c>
      <c r="AW99" s="54"/>
      <c r="AX99" s="54"/>
      <c r="AY99" s="21">
        <f t="shared" si="134"/>
        <v>0</v>
      </c>
      <c r="AZ99" s="54"/>
      <c r="BA99" s="54"/>
      <c r="BB99" s="21">
        <f t="shared" si="135"/>
        <v>0</v>
      </c>
      <c r="BC99" s="54"/>
      <c r="BD99" s="54"/>
      <c r="BE99" s="21">
        <f t="shared" si="136"/>
        <v>0</v>
      </c>
      <c r="BF99" s="55"/>
      <c r="BG99" s="55"/>
      <c r="BH99" s="21">
        <f t="shared" si="137"/>
        <v>0</v>
      </c>
      <c r="BI99" s="55"/>
      <c r="BJ99" s="55"/>
      <c r="BK99" s="21">
        <f t="shared" si="138"/>
        <v>0</v>
      </c>
      <c r="BL99" s="55"/>
      <c r="BM99" s="55"/>
      <c r="BN99" s="21">
        <f t="shared" si="139"/>
        <v>0</v>
      </c>
      <c r="BO99" s="55"/>
      <c r="BP99" s="55"/>
      <c r="BQ99" s="21">
        <f t="shared" si="140"/>
        <v>0</v>
      </c>
      <c r="BR99" s="55"/>
      <c r="BS99" s="21">
        <f t="shared" si="141"/>
        <v>0</v>
      </c>
      <c r="BT99" s="56"/>
      <c r="BU99" s="56"/>
      <c r="BV99" s="21"/>
      <c r="BW99" s="77">
        <f t="shared" si="121"/>
        <v>0</v>
      </c>
      <c r="BX99" s="55"/>
      <c r="BY99" s="21"/>
      <c r="BZ99" s="55"/>
      <c r="CA99" s="55"/>
      <c r="CB99" s="21"/>
      <c r="CC99" s="55"/>
      <c r="CD99" s="55"/>
      <c r="CE99" s="21"/>
      <c r="CF99" s="21"/>
      <c r="CG99" s="21"/>
      <c r="CH99" s="21">
        <f t="shared" si="122"/>
        <v>0</v>
      </c>
      <c r="CI99" s="25">
        <f t="shared" si="123"/>
        <v>5.72</v>
      </c>
      <c r="CJ99" s="54"/>
      <c r="CK99" s="21">
        <f t="shared" si="161"/>
        <v>0</v>
      </c>
      <c r="CL99" s="55"/>
      <c r="CM99" s="55"/>
      <c r="CN99" s="60"/>
      <c r="CO99" s="55" t="s">
        <v>517</v>
      </c>
      <c r="CP99" s="55"/>
      <c r="CQ99" s="55"/>
      <c r="CR99" s="55"/>
      <c r="CS99" s="55"/>
      <c r="CT99" s="55"/>
      <c r="CU99" s="55"/>
      <c r="CV99" s="55"/>
      <c r="CW99" s="55"/>
      <c r="CX99" s="55"/>
      <c r="CY99" s="21">
        <f t="shared" si="162"/>
        <v>0</v>
      </c>
      <c r="CZ99" s="56"/>
      <c r="DA99" s="56"/>
      <c r="DB99" s="56"/>
      <c r="DC99" s="56"/>
      <c r="DD99" s="61">
        <f t="shared" si="125"/>
        <v>0</v>
      </c>
      <c r="DE99" s="21">
        <f t="shared" si="126"/>
        <v>0</v>
      </c>
      <c r="DF99" s="55">
        <v>17.47</v>
      </c>
      <c r="DG99" s="55">
        <v>5.72</v>
      </c>
      <c r="DH99" s="55">
        <v>5.15</v>
      </c>
      <c r="DI99" s="55"/>
      <c r="DJ99" s="104"/>
      <c r="DK99" s="53"/>
      <c r="DM99" s="58">
        <f t="shared" si="108"/>
        <v>911.74135417344007</v>
      </c>
      <c r="DN99" s="58">
        <f t="shared" si="163"/>
        <v>740.48</v>
      </c>
      <c r="DO99" s="21">
        <f t="shared" si="164"/>
        <v>0.81216015552053034</v>
      </c>
      <c r="DP99" s="62">
        <f t="shared" si="165"/>
        <v>1.023150251365454</v>
      </c>
      <c r="DQ99" s="7" t="s">
        <v>130</v>
      </c>
      <c r="DR99" s="107">
        <f t="shared" si="111"/>
        <v>0</v>
      </c>
    </row>
    <row r="100" spans="1:122" ht="12.75" customHeight="1" x14ac:dyDescent="0.2">
      <c r="A100" s="53" t="s">
        <v>260</v>
      </c>
      <c r="B100" s="54">
        <v>2</v>
      </c>
      <c r="C100" s="92">
        <f t="shared" si="147"/>
        <v>107.61749868813966</v>
      </c>
      <c r="D100" s="92">
        <f t="shared" si="148"/>
        <v>103.2528318962152</v>
      </c>
      <c r="E100" s="92">
        <f>VLOOKUP(A100,[3]TRTOTAL!$A$7:$D$313,3,FALSE)</f>
        <v>107.61749868813966</v>
      </c>
      <c r="F100" s="92">
        <f>VLOOKUP(A100,[3]TRTOTAL!$A$7:$D$313,4,FALSE)</f>
        <v>103.2528318962152</v>
      </c>
      <c r="G100" s="92">
        <f t="shared" si="112"/>
        <v>0</v>
      </c>
      <c r="H100" s="92">
        <f t="shared" si="113"/>
        <v>0</v>
      </c>
      <c r="I100" s="54">
        <v>5.52</v>
      </c>
      <c r="J100" s="56">
        <v>5.3879999999999999</v>
      </c>
      <c r="K100" s="54">
        <v>2.8</v>
      </c>
      <c r="L100" s="57">
        <v>2</v>
      </c>
      <c r="M100" s="57">
        <v>200</v>
      </c>
      <c r="N100" s="57"/>
      <c r="O100" s="87"/>
      <c r="P100" s="24">
        <f t="shared" si="152"/>
        <v>16</v>
      </c>
      <c r="Q100" s="24">
        <f t="shared" si="149"/>
        <v>7.65</v>
      </c>
      <c r="R100" s="24">
        <f t="shared" si="153"/>
        <v>6.32</v>
      </c>
      <c r="S100" s="87">
        <v>8.56</v>
      </c>
      <c r="T100" s="21">
        <f t="shared" si="154"/>
        <v>5.7</v>
      </c>
      <c r="U100" s="21"/>
      <c r="V100" s="24">
        <f t="shared" si="155"/>
        <v>2.5049999999999999</v>
      </c>
      <c r="W100" s="24">
        <f t="shared" si="156"/>
        <v>2.665</v>
      </c>
      <c r="X100" s="24">
        <f t="shared" si="157"/>
        <v>2.2528151389177338</v>
      </c>
      <c r="Y100" s="25">
        <f t="shared" si="128"/>
        <v>1</v>
      </c>
      <c r="Z100" s="24">
        <f t="shared" si="119"/>
        <v>13.67768041819364</v>
      </c>
      <c r="AA100" s="21">
        <f t="shared" si="158"/>
        <v>0</v>
      </c>
      <c r="AB100" s="24">
        <f t="shared" si="120"/>
        <v>5.6880000000000006</v>
      </c>
      <c r="AC100" s="24">
        <f t="shared" si="142"/>
        <v>21.776240418193641</v>
      </c>
      <c r="AD100" s="58">
        <f t="shared" si="159"/>
        <v>350</v>
      </c>
      <c r="AE100" s="58">
        <f t="shared" si="160"/>
        <v>356</v>
      </c>
      <c r="AF100" s="21">
        <f t="shared" si="94"/>
        <v>3.15</v>
      </c>
      <c r="AG100" s="77">
        <f t="shared" si="95"/>
        <v>0</v>
      </c>
      <c r="AH100" s="114">
        <f t="shared" si="129"/>
        <v>1</v>
      </c>
      <c r="AI100" s="59">
        <f t="shared" si="96"/>
        <v>107.61749868813966</v>
      </c>
      <c r="AJ100" s="59">
        <f t="shared" si="97"/>
        <v>103.2528318962152</v>
      </c>
      <c r="AK100" s="55"/>
      <c r="AL100" s="55">
        <v>2.5049999999999999</v>
      </c>
      <c r="AM100" s="21">
        <f t="shared" si="130"/>
        <v>0</v>
      </c>
      <c r="AN100" s="54">
        <v>7.65</v>
      </c>
      <c r="AO100" s="55"/>
      <c r="AP100" s="21">
        <f t="shared" si="131"/>
        <v>0</v>
      </c>
      <c r="AQ100" s="55"/>
      <c r="AR100" s="55"/>
      <c r="AS100" s="21">
        <f t="shared" si="132"/>
        <v>0</v>
      </c>
      <c r="AT100" s="54"/>
      <c r="AU100" s="54"/>
      <c r="AV100" s="21">
        <f t="shared" si="133"/>
        <v>0</v>
      </c>
      <c r="AW100" s="54"/>
      <c r="AX100" s="54"/>
      <c r="AY100" s="21">
        <f t="shared" si="134"/>
        <v>0</v>
      </c>
      <c r="AZ100" s="54"/>
      <c r="BA100" s="54"/>
      <c r="BB100" s="21">
        <f t="shared" si="135"/>
        <v>0</v>
      </c>
      <c r="BC100" s="54"/>
      <c r="BD100" s="54"/>
      <c r="BE100" s="21">
        <f t="shared" si="136"/>
        <v>0</v>
      </c>
      <c r="BF100" s="55"/>
      <c r="BG100" s="55"/>
      <c r="BH100" s="21">
        <f t="shared" si="137"/>
        <v>0</v>
      </c>
      <c r="BI100" s="55"/>
      <c r="BJ100" s="55"/>
      <c r="BK100" s="21">
        <f t="shared" si="138"/>
        <v>0</v>
      </c>
      <c r="BL100" s="55"/>
      <c r="BM100" s="55"/>
      <c r="BN100" s="21">
        <f t="shared" si="139"/>
        <v>0</v>
      </c>
      <c r="BO100" s="55"/>
      <c r="BP100" s="55"/>
      <c r="BQ100" s="21">
        <f t="shared" si="140"/>
        <v>0</v>
      </c>
      <c r="BR100" s="55"/>
      <c r="BS100" s="21">
        <f t="shared" si="141"/>
        <v>0</v>
      </c>
      <c r="BT100" s="56"/>
      <c r="BU100" s="56"/>
      <c r="BV100" s="21"/>
      <c r="BW100" s="77">
        <f t="shared" si="121"/>
        <v>0</v>
      </c>
      <c r="BX100" s="55"/>
      <c r="BY100" s="21"/>
      <c r="BZ100" s="55"/>
      <c r="CA100" s="55"/>
      <c r="CB100" s="21"/>
      <c r="CC100" s="54"/>
      <c r="CD100" s="54"/>
      <c r="CE100" s="21"/>
      <c r="CF100" s="21"/>
      <c r="CG100" s="21"/>
      <c r="CH100" s="21">
        <f t="shared" si="122"/>
        <v>0</v>
      </c>
      <c r="CI100" s="25">
        <f t="shared" si="123"/>
        <v>6.32</v>
      </c>
      <c r="CJ100" s="54"/>
      <c r="CK100" s="21">
        <f t="shared" si="161"/>
        <v>0</v>
      </c>
      <c r="CL100" s="55"/>
      <c r="CM100" s="55"/>
      <c r="CN100" s="60"/>
      <c r="CO100" s="55" t="s">
        <v>517</v>
      </c>
      <c r="CP100" s="55"/>
      <c r="CQ100" s="55"/>
      <c r="CR100" s="55"/>
      <c r="CS100" s="55"/>
      <c r="CT100" s="55"/>
      <c r="CU100" s="55"/>
      <c r="CV100" s="55"/>
      <c r="CW100" s="55"/>
      <c r="CX100" s="55"/>
      <c r="CY100" s="21">
        <f t="shared" si="162"/>
        <v>0</v>
      </c>
      <c r="CZ100" s="56"/>
      <c r="DA100" s="56"/>
      <c r="DB100" s="56"/>
      <c r="DC100" s="56"/>
      <c r="DD100" s="61">
        <f t="shared" si="125"/>
        <v>0</v>
      </c>
      <c r="DE100" s="21">
        <f t="shared" si="126"/>
        <v>0</v>
      </c>
      <c r="DF100" s="55">
        <v>16</v>
      </c>
      <c r="DG100" s="55">
        <v>6.32</v>
      </c>
      <c r="DH100" s="55">
        <v>5.7</v>
      </c>
      <c r="DI100" s="55"/>
      <c r="DJ100" s="104"/>
      <c r="DK100" s="53"/>
      <c r="DM100" s="58">
        <f t="shared" si="108"/>
        <v>830.78949058559988</v>
      </c>
      <c r="DN100" s="58">
        <f t="shared" si="163"/>
        <v>850</v>
      </c>
      <c r="DO100" s="21">
        <f t="shared" si="164"/>
        <v>1.0231231974309871</v>
      </c>
      <c r="DP100" s="62">
        <f t="shared" si="165"/>
        <v>1</v>
      </c>
      <c r="DQ100" s="7" t="s">
        <v>130</v>
      </c>
      <c r="DR100" s="107">
        <f t="shared" si="111"/>
        <v>0</v>
      </c>
    </row>
    <row r="101" spans="1:122" ht="12.75" customHeight="1" x14ac:dyDescent="0.2">
      <c r="A101" s="53" t="s">
        <v>261</v>
      </c>
      <c r="B101" s="54">
        <v>2</v>
      </c>
      <c r="C101" s="92">
        <f t="shared" ref="C101:C118" si="166">AI101*PowerFactor</f>
        <v>105.72386174350298</v>
      </c>
      <c r="D101" s="92">
        <f t="shared" ref="D101:D118" si="167">AJ101*PowerFactor*IF(crew=1,1.01,1)</f>
        <v>100.14740302787604</v>
      </c>
      <c r="E101" s="92">
        <f>VLOOKUP(A101,[3]TRTOTAL!$A$7:$D$313,3,FALSE)</f>
        <v>105.72386174350298</v>
      </c>
      <c r="F101" s="92">
        <f>VLOOKUP(A101,[3]TRTOTAL!$A$7:$D$313,4,FALSE)</f>
        <v>100.14740302787604</v>
      </c>
      <c r="G101" s="92">
        <f t="shared" si="112"/>
        <v>0</v>
      </c>
      <c r="H101" s="92">
        <f t="shared" si="113"/>
        <v>0</v>
      </c>
      <c r="I101" s="54">
        <v>5.89</v>
      </c>
      <c r="J101" s="56">
        <v>5.7489999999999997</v>
      </c>
      <c r="K101" s="54">
        <v>2.5</v>
      </c>
      <c r="L101" s="57">
        <v>2</v>
      </c>
      <c r="M101" s="57">
        <v>190.5</v>
      </c>
      <c r="O101" s="87"/>
      <c r="P101" s="24">
        <f t="shared" si="152"/>
        <v>17.725794166666667</v>
      </c>
      <c r="Q101" s="24">
        <f t="shared" si="149"/>
        <v>8.4450000000000003</v>
      </c>
      <c r="R101" s="24">
        <f t="shared" si="153"/>
        <v>5.2918099999999999</v>
      </c>
      <c r="S101" s="87">
        <v>9</v>
      </c>
      <c r="T101" s="21">
        <f t="shared" si="154"/>
        <v>5.4031199999999995</v>
      </c>
      <c r="U101" s="21"/>
      <c r="V101" s="24">
        <f t="shared" si="155"/>
        <v>2.4820000000000002</v>
      </c>
      <c r="W101" s="24">
        <f t="shared" si="156"/>
        <v>2.637</v>
      </c>
      <c r="X101" s="24">
        <f t="shared" si="157"/>
        <v>2.549091602937438</v>
      </c>
      <c r="Y101" s="25">
        <f t="shared" si="128"/>
        <v>1</v>
      </c>
      <c r="Z101" s="24">
        <f t="shared" si="119"/>
        <v>15.725198538638438</v>
      </c>
      <c r="AA101" s="21">
        <f t="shared" si="158"/>
        <v>1.3362819120729275</v>
      </c>
      <c r="AB101" s="24">
        <f t="shared" si="120"/>
        <v>4.1562930981647028</v>
      </c>
      <c r="AC101" s="24">
        <f t="shared" si="142"/>
        <v>23.091173534041729</v>
      </c>
      <c r="AD101" s="58">
        <f t="shared" si="159"/>
        <v>340.5</v>
      </c>
      <c r="AE101" s="58">
        <f t="shared" si="160"/>
        <v>346.5</v>
      </c>
      <c r="AF101" s="21">
        <f t="shared" si="94"/>
        <v>3.75</v>
      </c>
      <c r="AG101" s="77">
        <f t="shared" si="95"/>
        <v>0</v>
      </c>
      <c r="AH101" s="114">
        <f t="shared" si="129"/>
        <v>1</v>
      </c>
      <c r="AI101" s="59">
        <f t="shared" si="96"/>
        <v>103.51015142107335</v>
      </c>
      <c r="AJ101" s="59">
        <f t="shared" si="97"/>
        <v>98.050455979297823</v>
      </c>
      <c r="AK101" s="55">
        <v>8.43</v>
      </c>
      <c r="AL101" s="55">
        <v>2.4820000000000002</v>
      </c>
      <c r="AM101" s="21">
        <f t="shared" si="130"/>
        <v>10.461630000000001</v>
      </c>
      <c r="AN101" s="54">
        <v>8.4450000000000003</v>
      </c>
      <c r="AO101" s="55">
        <v>0.20599999999999999</v>
      </c>
      <c r="AP101" s="21">
        <f t="shared" si="131"/>
        <v>1.15978</v>
      </c>
      <c r="AQ101" s="55"/>
      <c r="AR101" s="55"/>
      <c r="AS101" s="21">
        <f t="shared" si="132"/>
        <v>0</v>
      </c>
      <c r="AT101" s="54">
        <v>8.43</v>
      </c>
      <c r="AU101" s="54">
        <v>0.879</v>
      </c>
      <c r="AV101" s="21">
        <f t="shared" si="133"/>
        <v>3.7049849999999998</v>
      </c>
      <c r="AW101" s="54">
        <v>2.125</v>
      </c>
      <c r="AX101" s="54">
        <v>0.35699999999999998</v>
      </c>
      <c r="AY101" s="21">
        <f t="shared" si="134"/>
        <v>0.3793125</v>
      </c>
      <c r="AZ101" s="54">
        <v>6.56</v>
      </c>
      <c r="BA101" s="54">
        <v>9.8000000000000004E-2</v>
      </c>
      <c r="BB101" s="21">
        <f t="shared" si="135"/>
        <v>0.42858666666666667</v>
      </c>
      <c r="BC101" s="54"/>
      <c r="BD101" s="54"/>
      <c r="BE101" s="21">
        <f t="shared" si="136"/>
        <v>0</v>
      </c>
      <c r="BF101" s="55">
        <v>1.31</v>
      </c>
      <c r="BG101" s="55">
        <v>0.3</v>
      </c>
      <c r="BH101" s="21">
        <f t="shared" si="137"/>
        <v>0.19650000000000001</v>
      </c>
      <c r="BI101" s="55"/>
      <c r="BJ101" s="55"/>
      <c r="BK101" s="21">
        <f t="shared" si="138"/>
        <v>0</v>
      </c>
      <c r="BL101" s="55"/>
      <c r="BM101" s="55"/>
      <c r="BN101" s="21">
        <f t="shared" si="139"/>
        <v>0</v>
      </c>
      <c r="BO101" s="55"/>
      <c r="BP101" s="55"/>
      <c r="BQ101" s="21">
        <f t="shared" si="140"/>
        <v>0</v>
      </c>
      <c r="BR101" s="55"/>
      <c r="BS101" s="21">
        <f t="shared" si="141"/>
        <v>16.330794166666667</v>
      </c>
      <c r="BT101" s="56">
        <v>5.7480000000000002</v>
      </c>
      <c r="BU101" s="56">
        <v>1.99</v>
      </c>
      <c r="BV101" s="21">
        <f t="shared" ref="BV101:BV123" si="168">BT101*BU101*0.5</f>
        <v>5.7192600000000002</v>
      </c>
      <c r="BW101" s="77">
        <f t="shared" si="121"/>
        <v>5.7480000000000002</v>
      </c>
      <c r="BX101" s="55">
        <v>0</v>
      </c>
      <c r="BY101" s="21">
        <f t="shared" ref="BY101:BY123" si="169">BW101*BX101*2/3</f>
        <v>0</v>
      </c>
      <c r="BZ101" s="55">
        <v>5.3849999999999998</v>
      </c>
      <c r="CA101" s="55">
        <v>-0.125</v>
      </c>
      <c r="CB101" s="21">
        <f t="shared" ref="CB101:CB123" si="170">BZ101*CA101*2/3</f>
        <v>-0.44874999999999998</v>
      </c>
      <c r="CC101" s="54">
        <v>2.13</v>
      </c>
      <c r="CD101" s="54">
        <v>1.4999999999999999E-2</v>
      </c>
      <c r="CE101" s="21">
        <f t="shared" ref="CE101:CE123" si="171">CC101*CD101*2/3</f>
        <v>2.1299999999999999E-2</v>
      </c>
      <c r="CF101" s="21"/>
      <c r="CG101" s="21"/>
      <c r="CH101" s="21">
        <f t="shared" si="122"/>
        <v>0</v>
      </c>
      <c r="CI101" s="25">
        <f t="shared" si="123"/>
        <v>5.2918099999999999</v>
      </c>
      <c r="CJ101" s="54">
        <v>0.31</v>
      </c>
      <c r="CK101" s="21">
        <f t="shared" si="161"/>
        <v>1.395</v>
      </c>
      <c r="CL101" s="55">
        <v>20</v>
      </c>
      <c r="CM101" s="55"/>
      <c r="CN101" s="60"/>
      <c r="CO101" s="55" t="s">
        <v>162</v>
      </c>
      <c r="CP101" s="55"/>
      <c r="CQ101" s="55"/>
      <c r="CR101" s="55"/>
      <c r="CS101" s="55"/>
      <c r="CT101" s="55"/>
      <c r="CU101" s="55"/>
      <c r="CV101" s="55"/>
      <c r="CW101" s="55"/>
      <c r="CX101" s="55"/>
      <c r="CY101" s="21">
        <f t="shared" si="162"/>
        <v>0</v>
      </c>
      <c r="CZ101" s="56"/>
      <c r="DA101" s="56"/>
      <c r="DB101" s="56"/>
      <c r="DC101" s="56"/>
      <c r="DD101" s="61">
        <f t="shared" si="125"/>
        <v>0</v>
      </c>
      <c r="DE101" s="21">
        <f t="shared" si="126"/>
        <v>25</v>
      </c>
      <c r="DF101" s="55"/>
      <c r="DG101" s="55"/>
      <c r="DH101" s="55"/>
      <c r="DI101" s="55">
        <v>25</v>
      </c>
      <c r="DJ101" s="104"/>
      <c r="DK101" s="53"/>
      <c r="DM101" s="58">
        <f t="shared" si="108"/>
        <v>925.00016524342823</v>
      </c>
      <c r="DN101" s="58">
        <f t="shared" si="163"/>
        <v>763.125</v>
      </c>
      <c r="DO101" s="21">
        <f t="shared" si="164"/>
        <v>0.82499985262075248</v>
      </c>
      <c r="DP101" s="62">
        <f t="shared" si="165"/>
        <v>1.0213864079226818</v>
      </c>
      <c r="DQ101" s="7" t="s">
        <v>130</v>
      </c>
      <c r="DR101" s="107">
        <f t="shared" si="111"/>
        <v>0</v>
      </c>
    </row>
    <row r="102" spans="1:122" ht="12.75" customHeight="1" x14ac:dyDescent="0.2">
      <c r="A102" s="53" t="s">
        <v>262</v>
      </c>
      <c r="B102" s="54">
        <v>2</v>
      </c>
      <c r="C102" s="92">
        <f t="shared" si="166"/>
        <v>97.977837354922812</v>
      </c>
      <c r="D102" s="92">
        <f t="shared" si="167"/>
        <v>94.449798044867293</v>
      </c>
      <c r="E102" s="92">
        <f>VLOOKUP(A102,[3]TRTOTAL!$A$7:$D$313,3,FALSE)</f>
        <v>97.977837354922812</v>
      </c>
      <c r="F102" s="92">
        <f>VLOOKUP(A102,[3]TRTOTAL!$A$7:$D$313,4,FALSE)</f>
        <v>94.449798044867293</v>
      </c>
      <c r="G102" s="92">
        <f t="shared" si="112"/>
        <v>0</v>
      </c>
      <c r="H102" s="92">
        <f t="shared" si="113"/>
        <v>0</v>
      </c>
      <c r="I102" s="54">
        <v>6.47</v>
      </c>
      <c r="J102" s="56">
        <v>6.3150000000000004</v>
      </c>
      <c r="K102" s="54">
        <v>3.05</v>
      </c>
      <c r="L102" s="57">
        <v>2</v>
      </c>
      <c r="M102"/>
      <c r="N102" s="57">
        <v>256.3</v>
      </c>
      <c r="O102" s="87"/>
      <c r="P102" s="24">
        <f t="shared" si="152"/>
        <v>21.136768333333332</v>
      </c>
      <c r="Q102" s="24">
        <f t="shared" si="149"/>
        <v>9.19</v>
      </c>
      <c r="R102" s="24">
        <f t="shared" si="153"/>
        <v>8.8647639999999974</v>
      </c>
      <c r="S102" s="87">
        <v>9.6999999999999993</v>
      </c>
      <c r="T102" s="21">
        <f t="shared" si="154"/>
        <v>6.4446399999999997</v>
      </c>
      <c r="U102" s="21"/>
      <c r="V102" s="24">
        <f t="shared" si="155"/>
        <v>2.657</v>
      </c>
      <c r="W102" s="24">
        <f t="shared" si="156"/>
        <v>2.8370000000000002</v>
      </c>
      <c r="X102" s="24">
        <f t="shared" si="157"/>
        <v>2.6261523425261473</v>
      </c>
      <c r="Y102" s="25">
        <f t="shared" si="128"/>
        <v>1</v>
      </c>
      <c r="Z102" s="24">
        <f t="shared" si="119"/>
        <v>18.919487369204383</v>
      </c>
      <c r="AA102" s="21">
        <f t="shared" si="158"/>
        <v>1.3762075708490207</v>
      </c>
      <c r="AB102" s="24">
        <f t="shared" si="120"/>
        <v>7.0243292087865736</v>
      </c>
      <c r="AC102" s="24">
        <f t="shared" si="142"/>
        <v>28.780653780848702</v>
      </c>
      <c r="AD102" s="58">
        <f t="shared" si="159"/>
        <v>400.3</v>
      </c>
      <c r="AE102" s="58">
        <f t="shared" si="160"/>
        <v>406.3</v>
      </c>
      <c r="AF102" s="21">
        <f t="shared" si="94"/>
        <v>3.75</v>
      </c>
      <c r="AG102" s="77">
        <f t="shared" si="95"/>
        <v>0</v>
      </c>
      <c r="AH102" s="114">
        <f t="shared" si="129"/>
        <v>1</v>
      </c>
      <c r="AI102" s="59">
        <f t="shared" si="96"/>
        <v>95.356856068934633</v>
      </c>
      <c r="AJ102" s="59">
        <f t="shared" si="97"/>
        <v>91.923194479979344</v>
      </c>
      <c r="AK102" s="55">
        <v>9.19</v>
      </c>
      <c r="AL102" s="55">
        <v>2.657</v>
      </c>
      <c r="AM102" s="21">
        <f t="shared" si="130"/>
        <v>12.208914999999999</v>
      </c>
      <c r="AN102" s="54">
        <v>9.19</v>
      </c>
      <c r="AO102" s="55">
        <v>0.104</v>
      </c>
      <c r="AP102" s="21">
        <f t="shared" si="131"/>
        <v>0.63717333333333326</v>
      </c>
      <c r="AQ102" s="55"/>
      <c r="AR102" s="55"/>
      <c r="AS102" s="21">
        <f t="shared" si="132"/>
        <v>0</v>
      </c>
      <c r="AT102" s="54">
        <v>9.1750000000000007</v>
      </c>
      <c r="AU102" s="54">
        <v>0.81399999999999995</v>
      </c>
      <c r="AV102" s="21">
        <f t="shared" si="133"/>
        <v>3.7342249999999999</v>
      </c>
      <c r="AW102" s="54">
        <v>1.71</v>
      </c>
      <c r="AX102" s="54">
        <v>0.13700000000000001</v>
      </c>
      <c r="AY102" s="21">
        <f t="shared" si="134"/>
        <v>0.117135</v>
      </c>
      <c r="AZ102" s="54">
        <v>7.71</v>
      </c>
      <c r="BA102" s="54">
        <v>0.51400000000000001</v>
      </c>
      <c r="BB102" s="21">
        <f t="shared" si="135"/>
        <v>2.6419600000000001</v>
      </c>
      <c r="BC102" s="54"/>
      <c r="BD102" s="54"/>
      <c r="BE102" s="21">
        <f t="shared" si="136"/>
        <v>0</v>
      </c>
      <c r="BF102" s="55">
        <v>0.85599999999999998</v>
      </c>
      <c r="BG102" s="55">
        <v>0.12</v>
      </c>
      <c r="BH102" s="21">
        <f t="shared" si="137"/>
        <v>5.1359999999999996E-2</v>
      </c>
      <c r="BI102" s="55"/>
      <c r="BJ102" s="55"/>
      <c r="BK102" s="21">
        <f t="shared" si="138"/>
        <v>0</v>
      </c>
      <c r="BL102" s="55"/>
      <c r="BM102" s="55"/>
      <c r="BN102" s="21">
        <f t="shared" si="139"/>
        <v>0</v>
      </c>
      <c r="BO102" s="55"/>
      <c r="BP102" s="55"/>
      <c r="BQ102" s="21">
        <f t="shared" si="140"/>
        <v>0</v>
      </c>
      <c r="BR102" s="55"/>
      <c r="BS102" s="21">
        <f t="shared" si="141"/>
        <v>19.390768333333334</v>
      </c>
      <c r="BT102" s="56">
        <v>6.8559999999999999</v>
      </c>
      <c r="BU102" s="56">
        <v>2.5379999999999998</v>
      </c>
      <c r="BV102" s="21">
        <f t="shared" si="168"/>
        <v>8.7002639999999989</v>
      </c>
      <c r="BW102" s="77">
        <f t="shared" si="121"/>
        <v>6.8559999999999999</v>
      </c>
      <c r="BX102" s="55">
        <v>0.03</v>
      </c>
      <c r="BY102" s="21">
        <f t="shared" si="169"/>
        <v>0.13711999999999999</v>
      </c>
      <c r="BZ102" s="55">
        <v>6.282</v>
      </c>
      <c r="CA102" s="55">
        <v>-1.4999999999999999E-2</v>
      </c>
      <c r="CB102" s="21">
        <f t="shared" si="170"/>
        <v>-6.2820000000000001E-2</v>
      </c>
      <c r="CC102" s="54">
        <v>2.706</v>
      </c>
      <c r="CD102" s="54">
        <v>0.05</v>
      </c>
      <c r="CE102" s="21">
        <f t="shared" si="171"/>
        <v>9.0200000000000002E-2</v>
      </c>
      <c r="CF102" s="21"/>
      <c r="CG102" s="21"/>
      <c r="CH102" s="21">
        <f t="shared" si="122"/>
        <v>0</v>
      </c>
      <c r="CI102" s="25">
        <f t="shared" si="123"/>
        <v>8.8647639999999974</v>
      </c>
      <c r="CJ102" s="54">
        <v>0.36</v>
      </c>
      <c r="CK102" s="21">
        <f t="shared" si="161"/>
        <v>1.7459999999999998</v>
      </c>
      <c r="CL102" s="55">
        <v>28</v>
      </c>
      <c r="CM102" s="55"/>
      <c r="CN102" s="60"/>
      <c r="CO102" s="55" t="s">
        <v>263</v>
      </c>
      <c r="CP102" s="55"/>
      <c r="CQ102" s="55"/>
      <c r="CR102" s="55"/>
      <c r="CS102" s="55"/>
      <c r="CT102" s="55"/>
      <c r="CU102" s="55"/>
      <c r="CV102" s="55"/>
      <c r="CW102" s="55"/>
      <c r="CX102" s="55"/>
      <c r="CY102" s="21">
        <f t="shared" si="162"/>
        <v>0</v>
      </c>
      <c r="CZ102" s="56"/>
      <c r="DA102" s="56"/>
      <c r="DB102" s="56"/>
      <c r="DC102" s="56"/>
      <c r="DD102" s="61">
        <f t="shared" si="125"/>
        <v>0</v>
      </c>
      <c r="DE102" s="21">
        <f t="shared" si="126"/>
        <v>0</v>
      </c>
      <c r="DF102" s="55"/>
      <c r="DG102" s="55"/>
      <c r="DH102" s="55"/>
      <c r="DI102" s="55"/>
      <c r="DJ102" s="104"/>
      <c r="DK102" s="53"/>
      <c r="DM102" s="58">
        <f t="shared" si="108"/>
        <v>1265.7305615593768</v>
      </c>
      <c r="DN102" s="58">
        <f t="shared" si="163"/>
        <v>989.20749999999998</v>
      </c>
      <c r="DO102" s="21">
        <f t="shared" si="164"/>
        <v>0.78153086450033948</v>
      </c>
      <c r="DP102" s="62">
        <f t="shared" si="165"/>
        <v>1.027486028734981</v>
      </c>
      <c r="DQ102" s="7" t="s">
        <v>130</v>
      </c>
      <c r="DR102" s="107">
        <f t="shared" si="111"/>
        <v>0</v>
      </c>
    </row>
    <row r="103" spans="1:122" ht="12.75" customHeight="1" x14ac:dyDescent="0.2">
      <c r="A103" s="53" t="s">
        <v>264</v>
      </c>
      <c r="B103" s="54">
        <v>2</v>
      </c>
      <c r="C103" s="92">
        <f t="shared" si="166"/>
        <v>97.972847216626405</v>
      </c>
      <c r="D103" s="92">
        <f t="shared" si="167"/>
        <v>94.119074879946467</v>
      </c>
      <c r="E103" s="92">
        <f>VLOOKUP(A103,[3]TRTOTAL!$A$7:$D$313,3,FALSE)</f>
        <v>97.972847216626405</v>
      </c>
      <c r="F103" s="92">
        <f>VLOOKUP(A103,[3]TRTOTAL!$A$7:$D$313,4,FALSE)</f>
        <v>94.119074879946467</v>
      </c>
      <c r="G103" s="92">
        <f t="shared" si="112"/>
        <v>0</v>
      </c>
      <c r="H103" s="92">
        <f t="shared" si="113"/>
        <v>0</v>
      </c>
      <c r="I103" s="54">
        <v>6.47</v>
      </c>
      <c r="J103" s="56">
        <v>6.3150000000000004</v>
      </c>
      <c r="K103" s="54">
        <v>3.05</v>
      </c>
      <c r="L103" s="57">
        <v>2</v>
      </c>
      <c r="M103" s="57"/>
      <c r="N103" s="57">
        <v>242</v>
      </c>
      <c r="O103" s="87"/>
      <c r="P103" s="24">
        <f t="shared" si="152"/>
        <v>20.965120000000006</v>
      </c>
      <c r="Q103" s="24">
        <f t="shared" si="149"/>
        <v>9.3030000000000008</v>
      </c>
      <c r="R103" s="24">
        <f t="shared" si="153"/>
        <v>7.1008733333333325</v>
      </c>
      <c r="S103" s="87">
        <v>9.6999999999999993</v>
      </c>
      <c r="T103" s="21">
        <f t="shared" si="154"/>
        <v>6.2603999999999997</v>
      </c>
      <c r="U103" s="21"/>
      <c r="V103" s="24">
        <f t="shared" si="155"/>
        <v>2.5569999999999999</v>
      </c>
      <c r="W103" s="24">
        <f t="shared" si="156"/>
        <v>2.722</v>
      </c>
      <c r="X103" s="24">
        <f t="shared" si="157"/>
        <v>2.8295743556327451</v>
      </c>
      <c r="Y103" s="25">
        <f t="shared" si="128"/>
        <v>1</v>
      </c>
      <c r="Z103" s="24">
        <f t="shared" si="119"/>
        <v>19.190597136978734</v>
      </c>
      <c r="AA103" s="21">
        <f t="shared" si="158"/>
        <v>1.5592757886403235</v>
      </c>
      <c r="AB103" s="24">
        <f t="shared" si="120"/>
        <v>5.8414564439295136</v>
      </c>
      <c r="AC103" s="24">
        <f t="shared" si="142"/>
        <v>28.022664243197411</v>
      </c>
      <c r="AD103" s="58">
        <f t="shared" si="159"/>
        <v>386</v>
      </c>
      <c r="AE103" s="58">
        <f t="shared" si="160"/>
        <v>392</v>
      </c>
      <c r="AF103" s="21">
        <f t="shared" si="94"/>
        <v>3.75</v>
      </c>
      <c r="AG103" s="77">
        <f t="shared" si="95"/>
        <v>0</v>
      </c>
      <c r="AH103" s="114">
        <f t="shared" si="129"/>
        <v>1</v>
      </c>
      <c r="AI103" s="59">
        <f t="shared" si="96"/>
        <v>95.59439639304918</v>
      </c>
      <c r="AJ103" s="59">
        <f t="shared" si="97"/>
        <v>91.834180671783201</v>
      </c>
      <c r="AK103" s="55">
        <v>9.3030000000000008</v>
      </c>
      <c r="AL103" s="55">
        <v>2.5569999999999999</v>
      </c>
      <c r="AM103" s="21">
        <f t="shared" si="130"/>
        <v>11.893885500000001</v>
      </c>
      <c r="AN103" s="54">
        <v>9.3030000000000008</v>
      </c>
      <c r="AO103" s="55">
        <v>0.152</v>
      </c>
      <c r="AP103" s="21">
        <f t="shared" si="131"/>
        <v>0.94270399999999999</v>
      </c>
      <c r="AQ103" s="55"/>
      <c r="AR103" s="55"/>
      <c r="AS103" s="21">
        <f t="shared" si="132"/>
        <v>0</v>
      </c>
      <c r="AT103" s="54">
        <v>9.2430000000000003</v>
      </c>
      <c r="AU103" s="54">
        <v>1.0549999999999999</v>
      </c>
      <c r="AV103" s="21">
        <f t="shared" si="133"/>
        <v>4.8756824999999999</v>
      </c>
      <c r="AW103" s="54"/>
      <c r="AX103" s="54"/>
      <c r="AY103" s="21">
        <f t="shared" si="134"/>
        <v>0</v>
      </c>
      <c r="AZ103" s="54">
        <v>6.6820000000000004</v>
      </c>
      <c r="BA103" s="54">
        <v>0.246</v>
      </c>
      <c r="BB103" s="21">
        <f t="shared" si="135"/>
        <v>1.0958479999999999</v>
      </c>
      <c r="BC103" s="54"/>
      <c r="BD103" s="54"/>
      <c r="BE103" s="21">
        <f t="shared" si="136"/>
        <v>0</v>
      </c>
      <c r="BF103" s="55">
        <v>2.7149999999999999</v>
      </c>
      <c r="BG103" s="55">
        <v>0.26400000000000001</v>
      </c>
      <c r="BH103" s="21">
        <f t="shared" si="137"/>
        <v>0.35837999999999998</v>
      </c>
      <c r="BI103" s="55">
        <v>1.7</v>
      </c>
      <c r="BJ103" s="55">
        <v>0.15</v>
      </c>
      <c r="BK103" s="21">
        <f t="shared" si="138"/>
        <v>0.17</v>
      </c>
      <c r="BL103" s="55">
        <v>0.76</v>
      </c>
      <c r="BM103" s="55">
        <v>7.3999999999999996E-2</v>
      </c>
      <c r="BN103" s="21">
        <f t="shared" si="139"/>
        <v>2.8119999999999999E-2</v>
      </c>
      <c r="BO103" s="55"/>
      <c r="BP103" s="55"/>
      <c r="BQ103" s="21">
        <f t="shared" si="140"/>
        <v>0</v>
      </c>
      <c r="BR103" s="55"/>
      <c r="BS103" s="21">
        <f t="shared" si="141"/>
        <v>19.364620000000006</v>
      </c>
      <c r="BT103" s="56">
        <v>6.66</v>
      </c>
      <c r="BU103" s="56">
        <v>2.1339999999999999</v>
      </c>
      <c r="BV103" s="21">
        <f t="shared" si="168"/>
        <v>7.1062199999999995</v>
      </c>
      <c r="BW103" s="77">
        <f t="shared" si="121"/>
        <v>6.66</v>
      </c>
      <c r="BX103" s="55">
        <v>7.2999999999999995E-2</v>
      </c>
      <c r="BY103" s="21">
        <f t="shared" si="169"/>
        <v>0.32412000000000002</v>
      </c>
      <c r="BZ103" s="55">
        <v>5.91</v>
      </c>
      <c r="CA103" s="55">
        <v>-0.1</v>
      </c>
      <c r="CB103" s="21">
        <f t="shared" si="170"/>
        <v>-0.39400000000000007</v>
      </c>
      <c r="CC103" s="55">
        <v>2.42</v>
      </c>
      <c r="CD103" s="55">
        <v>0.04</v>
      </c>
      <c r="CE103" s="21">
        <f t="shared" si="171"/>
        <v>6.4533333333333331E-2</v>
      </c>
      <c r="CF103" s="21"/>
      <c r="CG103" s="21"/>
      <c r="CH103" s="21">
        <f t="shared" si="122"/>
        <v>0</v>
      </c>
      <c r="CI103" s="25">
        <f t="shared" si="123"/>
        <v>7.1008733333333325</v>
      </c>
      <c r="CJ103" s="54">
        <v>0.33</v>
      </c>
      <c r="CK103" s="21">
        <f t="shared" si="161"/>
        <v>1.6005</v>
      </c>
      <c r="CL103" s="55">
        <v>3</v>
      </c>
      <c r="CM103" s="55"/>
      <c r="CN103" s="60"/>
      <c r="CO103" s="55" t="s">
        <v>263</v>
      </c>
      <c r="CP103" s="55"/>
      <c r="CQ103" s="55"/>
      <c r="CR103" s="55"/>
      <c r="CS103" s="55"/>
      <c r="CT103" s="55"/>
      <c r="CU103" s="55"/>
      <c r="CV103" s="55"/>
      <c r="CW103" s="55"/>
      <c r="CX103" s="55"/>
      <c r="CY103" s="21">
        <f t="shared" si="162"/>
        <v>0</v>
      </c>
      <c r="CZ103" s="56"/>
      <c r="DA103" s="56"/>
      <c r="DB103" s="56"/>
      <c r="DC103" s="56"/>
      <c r="DD103" s="61">
        <f t="shared" si="125"/>
        <v>0</v>
      </c>
      <c r="DE103" s="21">
        <f t="shared" si="126"/>
        <v>0</v>
      </c>
      <c r="DF103" s="55"/>
      <c r="DG103" s="55"/>
      <c r="DH103" s="55"/>
      <c r="DI103" s="55"/>
      <c r="DJ103" s="104"/>
      <c r="DK103" s="53"/>
      <c r="DM103" s="58">
        <f t="shared" si="108"/>
        <v>1209.5839883421402</v>
      </c>
      <c r="DN103" s="58">
        <f t="shared" si="163"/>
        <v>967.4</v>
      </c>
      <c r="DO103" s="21">
        <f t="shared" si="164"/>
        <v>0.79977910531530894</v>
      </c>
      <c r="DP103" s="62">
        <f t="shared" si="165"/>
        <v>1.0248806510979775</v>
      </c>
      <c r="DQ103" s="7" t="s">
        <v>130</v>
      </c>
      <c r="DR103" s="107">
        <f t="shared" si="111"/>
        <v>0</v>
      </c>
    </row>
    <row r="104" spans="1:122" ht="12.75" customHeight="1" x14ac:dyDescent="0.2">
      <c r="A104" s="53" t="s">
        <v>265</v>
      </c>
      <c r="B104" s="54">
        <v>2</v>
      </c>
      <c r="C104" s="92">
        <f t="shared" si="166"/>
        <v>101.17251780238581</v>
      </c>
      <c r="D104" s="92">
        <f t="shared" si="167"/>
        <v>96.196695198272209</v>
      </c>
      <c r="E104" s="92">
        <f>VLOOKUP(A104,[3]TRTOTAL!$A$7:$D$313,3,FALSE)</f>
        <v>101.17251780238581</v>
      </c>
      <c r="F104" s="92">
        <f>VLOOKUP(A104,[3]TRTOTAL!$A$7:$D$313,4,FALSE)</f>
        <v>96.196695198272209</v>
      </c>
      <c r="G104" s="92">
        <f t="shared" si="112"/>
        <v>0</v>
      </c>
      <c r="H104" s="92">
        <f t="shared" si="113"/>
        <v>0</v>
      </c>
      <c r="I104" s="54">
        <v>6.12</v>
      </c>
      <c r="J104" s="56">
        <v>6.12</v>
      </c>
      <c r="K104" s="54">
        <v>2.6</v>
      </c>
      <c r="L104" s="57">
        <v>2</v>
      </c>
      <c r="M104" s="57"/>
      <c r="N104" s="57">
        <v>190</v>
      </c>
      <c r="O104" s="87"/>
      <c r="P104" s="24">
        <f t="shared" si="152"/>
        <v>18</v>
      </c>
      <c r="Q104" s="24">
        <f t="shared" si="149"/>
        <v>9.08</v>
      </c>
      <c r="R104" s="24">
        <f t="shared" si="153"/>
        <v>4.8499999999999996</v>
      </c>
      <c r="S104" s="87">
        <v>9.51</v>
      </c>
      <c r="T104" s="21">
        <f t="shared" si="154"/>
        <v>6.26</v>
      </c>
      <c r="U104" s="21">
        <v>2.2999999999999998</v>
      </c>
      <c r="V104" s="24">
        <f t="shared" si="155"/>
        <v>2.2999999999999998</v>
      </c>
      <c r="W104" s="24">
        <f t="shared" si="156"/>
        <v>2.46</v>
      </c>
      <c r="X104" s="24">
        <f t="shared" si="157"/>
        <v>2.9744199881023201</v>
      </c>
      <c r="Y104" s="25">
        <f t="shared" si="128"/>
        <v>1</v>
      </c>
      <c r="Z104" s="24">
        <f t="shared" si="119"/>
        <v>16.725071962595457</v>
      </c>
      <c r="AA104" s="21">
        <f t="shared" si="158"/>
        <v>0</v>
      </c>
      <c r="AB104" s="24">
        <f t="shared" si="120"/>
        <v>4.3650000000000002</v>
      </c>
      <c r="AC104" s="24">
        <f t="shared" si="142"/>
        <v>24.272621962595458</v>
      </c>
      <c r="AD104" s="58">
        <f t="shared" si="159"/>
        <v>334</v>
      </c>
      <c r="AE104" s="58">
        <f t="shared" si="160"/>
        <v>340</v>
      </c>
      <c r="AF104" s="21">
        <f t="shared" si="94"/>
        <v>3.75</v>
      </c>
      <c r="AG104" s="77">
        <f t="shared" si="95"/>
        <v>0</v>
      </c>
      <c r="AH104" s="114">
        <f t="shared" si="129"/>
        <v>1</v>
      </c>
      <c r="AI104" s="59">
        <f t="shared" si="96"/>
        <v>98.596865861855122</v>
      </c>
      <c r="AJ104" s="59">
        <f t="shared" si="97"/>
        <v>93.747717847090527</v>
      </c>
      <c r="AK104" s="55"/>
      <c r="AL104" s="55"/>
      <c r="AM104" s="21">
        <f t="shared" si="130"/>
        <v>0</v>
      </c>
      <c r="AN104" s="54">
        <v>9.08</v>
      </c>
      <c r="AO104" s="55"/>
      <c r="AP104" s="21">
        <f t="shared" si="131"/>
        <v>0</v>
      </c>
      <c r="AQ104" s="55"/>
      <c r="AR104" s="55"/>
      <c r="AS104" s="21">
        <f t="shared" si="132"/>
        <v>0</v>
      </c>
      <c r="AT104" s="54"/>
      <c r="AU104" s="54"/>
      <c r="AV104" s="21">
        <f t="shared" si="133"/>
        <v>0</v>
      </c>
      <c r="AW104" s="54"/>
      <c r="AX104" s="54"/>
      <c r="AY104" s="21">
        <f t="shared" si="134"/>
        <v>0</v>
      </c>
      <c r="AZ104" s="54"/>
      <c r="BA104" s="54"/>
      <c r="BB104" s="21">
        <f t="shared" si="135"/>
        <v>0</v>
      </c>
      <c r="BC104" s="54"/>
      <c r="BD104" s="54"/>
      <c r="BE104" s="21">
        <f t="shared" si="136"/>
        <v>0</v>
      </c>
      <c r="BF104" s="55"/>
      <c r="BG104" s="55"/>
      <c r="BH104" s="21">
        <f t="shared" si="137"/>
        <v>0</v>
      </c>
      <c r="BI104" s="55"/>
      <c r="BJ104" s="55"/>
      <c r="BK104" s="21">
        <f t="shared" si="138"/>
        <v>0</v>
      </c>
      <c r="BL104" s="55"/>
      <c r="BM104" s="55"/>
      <c r="BN104" s="21">
        <f t="shared" si="139"/>
        <v>0</v>
      </c>
      <c r="BO104" s="55"/>
      <c r="BP104" s="55"/>
      <c r="BQ104" s="21">
        <f t="shared" si="140"/>
        <v>0</v>
      </c>
      <c r="BR104" s="55"/>
      <c r="BS104" s="21">
        <f t="shared" si="141"/>
        <v>0</v>
      </c>
      <c r="BT104" s="56">
        <v>0</v>
      </c>
      <c r="BU104" s="56"/>
      <c r="BV104" s="21">
        <f t="shared" si="168"/>
        <v>0</v>
      </c>
      <c r="BW104" s="77">
        <f t="shared" si="121"/>
        <v>0</v>
      </c>
      <c r="BX104" s="55"/>
      <c r="BY104" s="21">
        <f t="shared" si="169"/>
        <v>0</v>
      </c>
      <c r="BZ104" s="55"/>
      <c r="CA104" s="55"/>
      <c r="CB104" s="21">
        <f t="shared" si="170"/>
        <v>0</v>
      </c>
      <c r="CC104" s="55"/>
      <c r="CD104" s="55"/>
      <c r="CE104" s="21">
        <f t="shared" si="171"/>
        <v>0</v>
      </c>
      <c r="CF104" s="21"/>
      <c r="CG104" s="21"/>
      <c r="CH104" s="21">
        <f t="shared" si="122"/>
        <v>0</v>
      </c>
      <c r="CI104" s="25">
        <f t="shared" si="123"/>
        <v>4.8499999999999996</v>
      </c>
      <c r="CJ104" s="54"/>
      <c r="CK104" s="21">
        <f t="shared" si="161"/>
        <v>0</v>
      </c>
      <c r="CL104" s="55"/>
      <c r="CM104" s="55"/>
      <c r="CN104" s="60"/>
      <c r="CO104" s="55"/>
      <c r="CP104" s="55"/>
      <c r="CQ104" s="55"/>
      <c r="CR104" s="55"/>
      <c r="CS104" s="55"/>
      <c r="CT104" s="55"/>
      <c r="CU104" s="55"/>
      <c r="CV104" s="55"/>
      <c r="CW104" s="55"/>
      <c r="CX104" s="55"/>
      <c r="CY104" s="21">
        <f t="shared" si="162"/>
        <v>0</v>
      </c>
      <c r="CZ104" s="56"/>
      <c r="DA104" s="56"/>
      <c r="DB104" s="56"/>
      <c r="DC104" s="56"/>
      <c r="DD104" s="61">
        <f t="shared" si="125"/>
        <v>0</v>
      </c>
      <c r="DE104" s="21">
        <f t="shared" si="126"/>
        <v>25</v>
      </c>
      <c r="DF104" s="55">
        <v>18</v>
      </c>
      <c r="DG104" s="55">
        <v>4.8499999999999996</v>
      </c>
      <c r="DH104" s="55">
        <v>6.26</v>
      </c>
      <c r="DI104" s="55">
        <v>25</v>
      </c>
      <c r="DJ104" s="104"/>
      <c r="DK104" s="53"/>
      <c r="DM104" s="58">
        <f t="shared" si="108"/>
        <v>985.05869226239986</v>
      </c>
      <c r="DN104" s="58">
        <f t="shared" si="163"/>
        <v>779.2</v>
      </c>
      <c r="DO104" s="21">
        <f t="shared" si="164"/>
        <v>0.79101885615607237</v>
      </c>
      <c r="DP104" s="62">
        <f t="shared" si="165"/>
        <v>1.0261230609920142</v>
      </c>
      <c r="DQ104" s="7" t="s">
        <v>130</v>
      </c>
      <c r="DR104" s="107">
        <f t="shared" si="111"/>
        <v>0</v>
      </c>
    </row>
    <row r="105" spans="1:122" ht="12.75" customHeight="1" x14ac:dyDescent="0.2">
      <c r="A105" s="53" t="s">
        <v>266</v>
      </c>
      <c r="B105" s="54">
        <v>1</v>
      </c>
      <c r="C105" s="92">
        <f t="shared" si="166"/>
        <v>110.43703059616172</v>
      </c>
      <c r="D105" s="92">
        <f t="shared" si="167"/>
        <v>105.00349803181241</v>
      </c>
      <c r="E105" s="92">
        <f>VLOOKUP(A105,[3]TRTOTAL!$A$7:$D$313,3,FALSE)</f>
        <v>110.43703059616172</v>
      </c>
      <c r="F105" s="92">
        <f>VLOOKUP(A105,[3]TRTOTAL!$A$7:$D$313,4,FALSE)</f>
        <v>105.00349803181241</v>
      </c>
      <c r="G105" s="92">
        <f t="shared" si="112"/>
        <v>0</v>
      </c>
      <c r="H105" s="92">
        <f t="shared" si="113"/>
        <v>0</v>
      </c>
      <c r="I105" s="54">
        <v>5.23</v>
      </c>
      <c r="J105" s="56">
        <v>5.23</v>
      </c>
      <c r="K105" s="54">
        <v>2.5499999999999998</v>
      </c>
      <c r="L105" s="57">
        <v>1</v>
      </c>
      <c r="M105" s="57"/>
      <c r="N105" s="57">
        <v>148.5</v>
      </c>
      <c r="O105" s="87"/>
      <c r="P105" s="24">
        <f t="shared" si="152"/>
        <v>14.991216666666666</v>
      </c>
      <c r="Q105" s="24">
        <f t="shared" si="149"/>
        <v>8.0299999999999994</v>
      </c>
      <c r="R105" s="24">
        <f t="shared" si="153"/>
        <v>0</v>
      </c>
      <c r="S105" s="87">
        <v>8.5</v>
      </c>
      <c r="T105" s="21">
        <f t="shared" si="154"/>
        <v>0</v>
      </c>
      <c r="U105" s="21"/>
      <c r="V105" s="24">
        <f t="shared" si="155"/>
        <v>2.09</v>
      </c>
      <c r="W105" s="24">
        <f t="shared" si="156"/>
        <v>2.2559999999999998</v>
      </c>
      <c r="X105" s="24">
        <f t="shared" si="157"/>
        <v>2.9454977166222363</v>
      </c>
      <c r="Y105" s="25">
        <f t="shared" si="128"/>
        <v>1</v>
      </c>
      <c r="Z105" s="24">
        <f t="shared" si="119"/>
        <v>13.888626245677338</v>
      </c>
      <c r="AA105" s="21">
        <f t="shared" si="158"/>
        <v>0</v>
      </c>
      <c r="AB105" s="24">
        <f t="shared" si="120"/>
        <v>0</v>
      </c>
      <c r="AC105" s="24">
        <f t="shared" si="142"/>
        <v>16.513626245677337</v>
      </c>
      <c r="AD105" s="58">
        <f t="shared" si="159"/>
        <v>217.5</v>
      </c>
      <c r="AE105" s="58">
        <f t="shared" si="160"/>
        <v>223.5</v>
      </c>
      <c r="AF105" s="21">
        <f t="shared" si="94"/>
        <v>2.625</v>
      </c>
      <c r="AG105" s="77">
        <f t="shared" si="95"/>
        <v>0</v>
      </c>
      <c r="AH105" s="114">
        <f t="shared" si="129"/>
        <v>1</v>
      </c>
      <c r="AI105" s="59">
        <f t="shared" si="96"/>
        <v>106.25813683208399</v>
      </c>
      <c r="AJ105" s="59">
        <f t="shared" si="97"/>
        <v>100.02990792183414</v>
      </c>
      <c r="AK105" s="55">
        <v>8.0299999999999994</v>
      </c>
      <c r="AL105" s="55">
        <v>2.09</v>
      </c>
      <c r="AM105" s="21">
        <f t="shared" si="130"/>
        <v>8.3913499999999992</v>
      </c>
      <c r="AN105" s="54">
        <v>8.0299999999999994</v>
      </c>
      <c r="AO105" s="55">
        <v>0.08</v>
      </c>
      <c r="AP105" s="21">
        <f t="shared" si="131"/>
        <v>0.42826666666666663</v>
      </c>
      <c r="AQ105" s="55"/>
      <c r="AR105" s="55">
        <v>0</v>
      </c>
      <c r="AS105" s="21">
        <f t="shared" si="132"/>
        <v>0</v>
      </c>
      <c r="AT105" s="54">
        <v>7.92</v>
      </c>
      <c r="AU105" s="54">
        <v>0.67</v>
      </c>
      <c r="AV105" s="21">
        <f t="shared" si="133"/>
        <v>2.6532</v>
      </c>
      <c r="AW105" s="54"/>
      <c r="AX105" s="54"/>
      <c r="AY105" s="21">
        <f t="shared" si="134"/>
        <v>0</v>
      </c>
      <c r="AZ105" s="54">
        <v>7.71</v>
      </c>
      <c r="BA105" s="54">
        <v>0.41</v>
      </c>
      <c r="BB105" s="21">
        <f t="shared" si="135"/>
        <v>2.1073999999999997</v>
      </c>
      <c r="BC105" s="54"/>
      <c r="BD105" s="54"/>
      <c r="BE105" s="21">
        <f t="shared" si="136"/>
        <v>0</v>
      </c>
      <c r="BF105" s="55"/>
      <c r="BG105" s="55"/>
      <c r="BH105" s="21">
        <f t="shared" si="137"/>
        <v>0</v>
      </c>
      <c r="BI105" s="55"/>
      <c r="BJ105" s="55"/>
      <c r="BK105" s="21">
        <f t="shared" si="138"/>
        <v>0</v>
      </c>
      <c r="BL105" s="55"/>
      <c r="BM105" s="55"/>
      <c r="BN105" s="21">
        <f t="shared" si="139"/>
        <v>0</v>
      </c>
      <c r="BO105" s="55"/>
      <c r="BP105" s="55"/>
      <c r="BQ105" s="21">
        <f t="shared" si="140"/>
        <v>0</v>
      </c>
      <c r="BR105" s="55"/>
      <c r="BS105" s="21">
        <f t="shared" si="141"/>
        <v>13.580216666666667</v>
      </c>
      <c r="BT105" s="56">
        <v>0</v>
      </c>
      <c r="BU105" s="56"/>
      <c r="BV105" s="21">
        <f t="shared" si="168"/>
        <v>0</v>
      </c>
      <c r="BW105" s="77">
        <f t="shared" si="121"/>
        <v>0</v>
      </c>
      <c r="BX105" s="55"/>
      <c r="BY105" s="21">
        <f t="shared" si="169"/>
        <v>0</v>
      </c>
      <c r="BZ105" s="55"/>
      <c r="CA105" s="55"/>
      <c r="CB105" s="21">
        <f t="shared" si="170"/>
        <v>0</v>
      </c>
      <c r="CC105" s="54"/>
      <c r="CD105" s="54"/>
      <c r="CE105" s="21">
        <f t="shared" si="171"/>
        <v>0</v>
      </c>
      <c r="CF105" s="21"/>
      <c r="CG105" s="21"/>
      <c r="CH105" s="21">
        <f t="shared" si="122"/>
        <v>0</v>
      </c>
      <c r="CI105" s="25">
        <f t="shared" si="123"/>
        <v>0</v>
      </c>
      <c r="CJ105" s="54">
        <v>0.33200000000000002</v>
      </c>
      <c r="CK105" s="21">
        <f t="shared" si="161"/>
        <v>1.411</v>
      </c>
      <c r="CL105" s="55"/>
      <c r="CM105" s="55"/>
      <c r="CN105" s="60">
        <v>37015</v>
      </c>
      <c r="CO105" s="55" t="s">
        <v>200</v>
      </c>
      <c r="CP105" s="55"/>
      <c r="CQ105" s="55"/>
      <c r="CR105" s="55"/>
      <c r="CS105" s="55"/>
      <c r="CT105" s="55"/>
      <c r="CU105" s="55"/>
      <c r="CV105" s="55"/>
      <c r="CW105" s="55"/>
      <c r="CX105" s="55"/>
      <c r="CY105" s="21">
        <f t="shared" si="162"/>
        <v>0</v>
      </c>
      <c r="CZ105" s="56"/>
      <c r="DA105" s="56"/>
      <c r="DB105" s="56"/>
      <c r="DC105" s="56"/>
      <c r="DD105" s="61">
        <f t="shared" si="125"/>
        <v>0</v>
      </c>
      <c r="DE105" s="21">
        <f t="shared" si="126"/>
        <v>17.5</v>
      </c>
      <c r="DF105" s="55"/>
      <c r="DG105" s="55"/>
      <c r="DH105" s="55"/>
      <c r="DI105" s="55">
        <v>17.5</v>
      </c>
      <c r="DJ105" s="104"/>
      <c r="DK105" s="53" t="s">
        <v>516</v>
      </c>
      <c r="DM105" s="58">
        <f t="shared" si="108"/>
        <v>636.0819879535743</v>
      </c>
      <c r="DN105" s="58">
        <f t="shared" si="163"/>
        <v>447.9375</v>
      </c>
      <c r="DO105" s="21">
        <f t="shared" si="164"/>
        <v>0.70421346380381011</v>
      </c>
      <c r="DP105" s="62">
        <f t="shared" si="165"/>
        <v>1.0393277530423999</v>
      </c>
      <c r="DQ105" s="7" t="s">
        <v>130</v>
      </c>
      <c r="DR105" s="107">
        <f t="shared" si="111"/>
        <v>0</v>
      </c>
    </row>
    <row r="106" spans="1:122" ht="12.75" customHeight="1" x14ac:dyDescent="0.2">
      <c r="A106" s="53" t="s">
        <v>267</v>
      </c>
      <c r="B106" s="54">
        <v>2</v>
      </c>
      <c r="C106" s="92">
        <f t="shared" si="166"/>
        <v>107.39806257332997</v>
      </c>
      <c r="D106" s="92">
        <f t="shared" si="167"/>
        <v>103.22239794072983</v>
      </c>
      <c r="E106" s="92">
        <f>VLOOKUP(A106,[3]TRTOTAL!$A$7:$D$313,3,FALSE)</f>
        <v>107.39806257332997</v>
      </c>
      <c r="F106" s="92">
        <f>VLOOKUP(A106,[3]TRTOTAL!$A$7:$D$313,4,FALSE)</f>
        <v>103.22239794072983</v>
      </c>
      <c r="G106" s="92">
        <f t="shared" si="112"/>
        <v>0</v>
      </c>
      <c r="H106" s="92">
        <f t="shared" si="113"/>
        <v>0</v>
      </c>
      <c r="I106" s="54">
        <v>5.23</v>
      </c>
      <c r="J106" s="56">
        <v>5.23</v>
      </c>
      <c r="K106" s="54">
        <v>2.5499999999999998</v>
      </c>
      <c r="L106" s="57">
        <v>2</v>
      </c>
      <c r="M106" s="57"/>
      <c r="N106" s="57">
        <v>152</v>
      </c>
      <c r="O106" s="87"/>
      <c r="P106" s="24">
        <f t="shared" si="152"/>
        <v>14.991216666666666</v>
      </c>
      <c r="Q106" s="24">
        <f t="shared" si="149"/>
        <v>8.0299999999999994</v>
      </c>
      <c r="R106" s="24">
        <f t="shared" si="153"/>
        <v>3.99</v>
      </c>
      <c r="S106" s="87">
        <v>8.5</v>
      </c>
      <c r="T106" s="21">
        <f t="shared" si="154"/>
        <v>5.64</v>
      </c>
      <c r="U106" s="21"/>
      <c r="V106" s="24">
        <f t="shared" si="155"/>
        <v>2.09</v>
      </c>
      <c r="W106" s="24">
        <f t="shared" si="156"/>
        <v>2.2559999999999998</v>
      </c>
      <c r="X106" s="24">
        <f t="shared" si="157"/>
        <v>2.9454977166222363</v>
      </c>
      <c r="Y106" s="25">
        <f t="shared" si="128"/>
        <v>1</v>
      </c>
      <c r="Z106" s="24">
        <f t="shared" si="119"/>
        <v>13.888626245677338</v>
      </c>
      <c r="AA106" s="21">
        <f t="shared" si="158"/>
        <v>2.255639097744361</v>
      </c>
      <c r="AB106" s="24">
        <f t="shared" si="120"/>
        <v>3.6667920091516262</v>
      </c>
      <c r="AC106" s="24">
        <f t="shared" si="142"/>
        <v>19.703735293639255</v>
      </c>
      <c r="AD106" s="58">
        <f t="shared" si="159"/>
        <v>296</v>
      </c>
      <c r="AE106" s="58">
        <f t="shared" si="160"/>
        <v>302</v>
      </c>
      <c r="AF106" s="21">
        <f t="shared" si="94"/>
        <v>2.625</v>
      </c>
      <c r="AG106" s="77">
        <f t="shared" si="95"/>
        <v>0</v>
      </c>
      <c r="AH106" s="114">
        <f t="shared" si="129"/>
        <v>1</v>
      </c>
      <c r="AI106" s="59">
        <f t="shared" si="96"/>
        <v>106.94413859728876</v>
      </c>
      <c r="AJ106" s="59">
        <f t="shared" si="97"/>
        <v>102.78612264705056</v>
      </c>
      <c r="AK106" s="55">
        <v>8.0299999999999994</v>
      </c>
      <c r="AL106" s="55">
        <v>2.09</v>
      </c>
      <c r="AM106" s="21">
        <f t="shared" si="130"/>
        <v>8.3913499999999992</v>
      </c>
      <c r="AN106" s="54">
        <v>8.0299999999999994</v>
      </c>
      <c r="AO106" s="55">
        <v>0.08</v>
      </c>
      <c r="AP106" s="21">
        <f t="shared" si="131"/>
        <v>0.42826666666666663</v>
      </c>
      <c r="AQ106" s="55"/>
      <c r="AR106" s="55">
        <v>0</v>
      </c>
      <c r="AS106" s="21">
        <f t="shared" si="132"/>
        <v>0</v>
      </c>
      <c r="AT106" s="54">
        <v>7.92</v>
      </c>
      <c r="AU106" s="54">
        <v>0.67</v>
      </c>
      <c r="AV106" s="21">
        <f t="shared" si="133"/>
        <v>2.6532</v>
      </c>
      <c r="AW106" s="54"/>
      <c r="AX106" s="54"/>
      <c r="AY106" s="21">
        <f t="shared" si="134"/>
        <v>0</v>
      </c>
      <c r="AZ106" s="54">
        <v>7.71</v>
      </c>
      <c r="BA106" s="54">
        <v>0.41</v>
      </c>
      <c r="BB106" s="21">
        <f t="shared" si="135"/>
        <v>2.1073999999999997</v>
      </c>
      <c r="BC106" s="54"/>
      <c r="BD106" s="54"/>
      <c r="BE106" s="21">
        <f t="shared" si="136"/>
        <v>0</v>
      </c>
      <c r="BF106" s="55"/>
      <c r="BG106" s="55"/>
      <c r="BH106" s="21">
        <f t="shared" si="137"/>
        <v>0</v>
      </c>
      <c r="BI106" s="55"/>
      <c r="BJ106" s="55"/>
      <c r="BK106" s="21">
        <f t="shared" si="138"/>
        <v>0</v>
      </c>
      <c r="BL106" s="55"/>
      <c r="BM106" s="55"/>
      <c r="BN106" s="21">
        <f t="shared" si="139"/>
        <v>0</v>
      </c>
      <c r="BO106" s="55"/>
      <c r="BP106" s="55"/>
      <c r="BQ106" s="21">
        <f t="shared" si="140"/>
        <v>0</v>
      </c>
      <c r="BR106" s="55"/>
      <c r="BS106" s="21">
        <f t="shared" si="141"/>
        <v>13.580216666666667</v>
      </c>
      <c r="BT106" s="56">
        <v>6</v>
      </c>
      <c r="BU106" s="56">
        <v>1.33</v>
      </c>
      <c r="BV106" s="21">
        <f t="shared" si="168"/>
        <v>3.99</v>
      </c>
      <c r="BW106" s="77">
        <f t="shared" si="121"/>
        <v>6</v>
      </c>
      <c r="BX106" s="55"/>
      <c r="BY106" s="21">
        <f t="shared" si="169"/>
        <v>0</v>
      </c>
      <c r="BZ106" s="55"/>
      <c r="CA106" s="55"/>
      <c r="CB106" s="21">
        <f t="shared" si="170"/>
        <v>0</v>
      </c>
      <c r="CC106" s="54"/>
      <c r="CD106" s="54"/>
      <c r="CE106" s="21">
        <f t="shared" si="171"/>
        <v>0</v>
      </c>
      <c r="CF106" s="21"/>
      <c r="CG106" s="21"/>
      <c r="CH106" s="21">
        <f t="shared" si="122"/>
        <v>0</v>
      </c>
      <c r="CI106" s="25">
        <f t="shared" si="123"/>
        <v>3.99</v>
      </c>
      <c r="CJ106" s="54">
        <v>0.33200000000000002</v>
      </c>
      <c r="CK106" s="21">
        <f t="shared" si="161"/>
        <v>1.411</v>
      </c>
      <c r="CL106" s="55"/>
      <c r="CM106" s="55"/>
      <c r="CN106" s="60">
        <v>37015</v>
      </c>
      <c r="CO106" s="55" t="s">
        <v>200</v>
      </c>
      <c r="CP106" s="55"/>
      <c r="CQ106" s="55"/>
      <c r="CR106" s="55"/>
      <c r="CS106" s="55"/>
      <c r="CT106" s="55"/>
      <c r="CU106" s="55"/>
      <c r="CV106" s="55"/>
      <c r="CW106" s="55"/>
      <c r="CX106" s="55"/>
      <c r="CY106" s="21">
        <f t="shared" si="162"/>
        <v>0</v>
      </c>
      <c r="CZ106" s="56"/>
      <c r="DA106" s="56"/>
      <c r="DB106" s="56"/>
      <c r="DC106" s="56"/>
      <c r="DD106" s="61">
        <f t="shared" si="125"/>
        <v>0</v>
      </c>
      <c r="DE106" s="21">
        <f t="shared" si="126"/>
        <v>17.5</v>
      </c>
      <c r="DF106" s="55"/>
      <c r="DG106" s="55"/>
      <c r="DH106" s="55"/>
      <c r="DI106" s="55">
        <v>17.5</v>
      </c>
      <c r="DJ106" s="104"/>
      <c r="DK106" s="53" t="s">
        <v>516</v>
      </c>
      <c r="DM106" s="58">
        <f t="shared" si="108"/>
        <v>746.86102312541425</v>
      </c>
      <c r="DN106" s="58">
        <f t="shared" si="163"/>
        <v>718.65</v>
      </c>
      <c r="DO106" s="21">
        <f t="shared" si="164"/>
        <v>0.96222721195523275</v>
      </c>
      <c r="DP106" s="62">
        <f t="shared" si="165"/>
        <v>1.0042444960705188</v>
      </c>
      <c r="DQ106" s="7" t="s">
        <v>130</v>
      </c>
      <c r="DR106" s="107">
        <f t="shared" si="111"/>
        <v>0</v>
      </c>
    </row>
    <row r="107" spans="1:122" ht="12.75" customHeight="1" x14ac:dyDescent="0.2">
      <c r="A107" s="53" t="s">
        <v>268</v>
      </c>
      <c r="B107" s="54">
        <v>2</v>
      </c>
      <c r="C107" s="92">
        <f t="shared" si="166"/>
        <v>123.43770193395953</v>
      </c>
      <c r="D107" s="92">
        <f t="shared" si="167"/>
        <v>116.5639650949369</v>
      </c>
      <c r="E107" s="92">
        <f>VLOOKUP(A107,[3]TRTOTAL!$A$7:$D$313,3,FALSE)</f>
        <v>123.43770193395953</v>
      </c>
      <c r="F107" s="92">
        <f>VLOOKUP(A107,[3]TRTOTAL!$A$7:$D$313,4,FALSE)</f>
        <v>116.5639650949369</v>
      </c>
      <c r="G107" s="92">
        <f t="shared" si="112"/>
        <v>0</v>
      </c>
      <c r="H107" s="92">
        <f t="shared" si="113"/>
        <v>0</v>
      </c>
      <c r="I107" s="54">
        <v>4.9000000000000004</v>
      </c>
      <c r="J107" s="56">
        <v>4.9000000000000004</v>
      </c>
      <c r="K107" s="54">
        <v>2.5</v>
      </c>
      <c r="L107" s="57">
        <v>2</v>
      </c>
      <c r="M107" s="57"/>
      <c r="N107" s="57">
        <v>156</v>
      </c>
      <c r="O107" s="87" t="s">
        <v>133</v>
      </c>
      <c r="P107" s="21">
        <f t="shared" si="152"/>
        <v>13.76</v>
      </c>
      <c r="Q107" s="24">
        <f t="shared" si="149"/>
        <v>7.44</v>
      </c>
      <c r="R107" s="24">
        <f t="shared" si="153"/>
        <v>2.63</v>
      </c>
      <c r="S107" s="87">
        <v>7.84</v>
      </c>
      <c r="T107" s="21">
        <f t="shared" si="154"/>
        <v>5.08</v>
      </c>
      <c r="U107" s="21"/>
      <c r="V107" s="24">
        <f t="shared" si="155"/>
        <v>2.2320000000000002</v>
      </c>
      <c r="W107" s="24">
        <f t="shared" si="156"/>
        <v>2.3920000000000003</v>
      </c>
      <c r="X107" s="24">
        <f t="shared" si="157"/>
        <v>2.404894799834453</v>
      </c>
      <c r="Y107" s="25">
        <f t="shared" si="128"/>
        <v>1</v>
      </c>
      <c r="Z107" s="24">
        <f t="shared" si="119"/>
        <v>11.995602376615595</v>
      </c>
      <c r="AA107" s="21">
        <f t="shared" si="158"/>
        <v>0</v>
      </c>
      <c r="AB107" s="24">
        <f t="shared" si="120"/>
        <v>2.367</v>
      </c>
      <c r="AC107" s="24">
        <f t="shared" si="142"/>
        <v>16.843392376615594</v>
      </c>
      <c r="AD107" s="58">
        <f t="shared" si="159"/>
        <v>300</v>
      </c>
      <c r="AE107" s="58">
        <f t="shared" si="160"/>
        <v>306</v>
      </c>
      <c r="AF107" s="21">
        <f t="shared" si="94"/>
        <v>2.7885</v>
      </c>
      <c r="AG107" s="77">
        <f t="shared" si="95"/>
        <v>0</v>
      </c>
      <c r="AH107" s="114">
        <f t="shared" si="129"/>
        <v>1.04</v>
      </c>
      <c r="AI107" s="59">
        <f t="shared" si="96"/>
        <v>123.43770193395953</v>
      </c>
      <c r="AJ107" s="59">
        <f t="shared" si="97"/>
        <v>116.5639650949369</v>
      </c>
      <c r="AK107" s="55"/>
      <c r="AL107" s="55"/>
      <c r="AM107" s="21">
        <f t="shared" si="130"/>
        <v>0</v>
      </c>
      <c r="AN107" s="54">
        <v>7.44</v>
      </c>
      <c r="AO107" s="55"/>
      <c r="AP107" s="21">
        <f t="shared" si="131"/>
        <v>0</v>
      </c>
      <c r="AQ107" s="55"/>
      <c r="AR107" s="55"/>
      <c r="AS107" s="21">
        <f t="shared" si="132"/>
        <v>0</v>
      </c>
      <c r="AT107" s="54"/>
      <c r="AU107" s="54"/>
      <c r="AV107" s="21"/>
      <c r="AW107" s="54"/>
      <c r="AX107" s="54"/>
      <c r="AY107" s="21">
        <f t="shared" si="134"/>
        <v>0</v>
      </c>
      <c r="AZ107" s="54"/>
      <c r="BA107" s="54"/>
      <c r="BB107" s="21">
        <f t="shared" si="135"/>
        <v>0</v>
      </c>
      <c r="BC107" s="54"/>
      <c r="BD107" s="54"/>
      <c r="BE107" s="21">
        <f t="shared" si="136"/>
        <v>0</v>
      </c>
      <c r="BF107" s="55"/>
      <c r="BG107" s="55"/>
      <c r="BH107" s="21">
        <f t="shared" si="137"/>
        <v>0</v>
      </c>
      <c r="BI107" s="55"/>
      <c r="BJ107" s="55"/>
      <c r="BK107" s="21">
        <f t="shared" si="138"/>
        <v>0</v>
      </c>
      <c r="BL107" s="55"/>
      <c r="BM107" s="55"/>
      <c r="BN107" s="21">
        <f t="shared" si="139"/>
        <v>0</v>
      </c>
      <c r="BO107" s="55"/>
      <c r="BP107" s="55"/>
      <c r="BQ107" s="21">
        <f t="shared" si="140"/>
        <v>0</v>
      </c>
      <c r="BR107" s="55"/>
      <c r="BS107" s="21">
        <f t="shared" si="141"/>
        <v>0</v>
      </c>
      <c r="BT107" s="56">
        <v>0</v>
      </c>
      <c r="BU107" s="56"/>
      <c r="BV107" s="21">
        <f t="shared" si="168"/>
        <v>0</v>
      </c>
      <c r="BW107" s="77">
        <f t="shared" si="121"/>
        <v>0</v>
      </c>
      <c r="BX107" s="55"/>
      <c r="BY107" s="21">
        <f t="shared" si="169"/>
        <v>0</v>
      </c>
      <c r="BZ107" s="55"/>
      <c r="CA107" s="55"/>
      <c r="CB107" s="21">
        <f t="shared" si="170"/>
        <v>0</v>
      </c>
      <c r="CC107" s="55"/>
      <c r="CD107" s="55"/>
      <c r="CE107" s="21">
        <f t="shared" si="171"/>
        <v>0</v>
      </c>
      <c r="CF107" s="21"/>
      <c r="CG107" s="21"/>
      <c r="CH107" s="21">
        <f t="shared" si="122"/>
        <v>0</v>
      </c>
      <c r="CI107" s="25">
        <f t="shared" si="123"/>
        <v>2.63</v>
      </c>
      <c r="CJ107" s="54"/>
      <c r="CK107" s="21">
        <f t="shared" si="161"/>
        <v>0</v>
      </c>
      <c r="CL107" s="55"/>
      <c r="CM107" s="55" t="s">
        <v>269</v>
      </c>
      <c r="CN107" s="60">
        <v>39204</v>
      </c>
      <c r="CO107" s="55" t="s">
        <v>148</v>
      </c>
      <c r="CP107" s="55"/>
      <c r="CQ107" s="55"/>
      <c r="CR107" s="55"/>
      <c r="CS107" s="55"/>
      <c r="CT107" s="55"/>
      <c r="CU107" s="55"/>
      <c r="CV107" s="55"/>
      <c r="CW107" s="55"/>
      <c r="CX107" s="55"/>
      <c r="CY107" s="21">
        <f t="shared" si="162"/>
        <v>0</v>
      </c>
      <c r="CZ107" s="56"/>
      <c r="DA107" s="56"/>
      <c r="DB107" s="56"/>
      <c r="DC107" s="56"/>
      <c r="DD107" s="61">
        <f t="shared" si="125"/>
        <v>0</v>
      </c>
      <c r="DE107" s="21">
        <f t="shared" si="126"/>
        <v>18.59</v>
      </c>
      <c r="DF107" s="55">
        <v>13.76</v>
      </c>
      <c r="DG107" s="55">
        <v>2.63</v>
      </c>
      <c r="DH107" s="55">
        <v>5.08</v>
      </c>
      <c r="DI107" s="55">
        <v>18.59</v>
      </c>
      <c r="DJ107" s="104"/>
      <c r="DK107" s="53"/>
      <c r="DM107" s="58">
        <f t="shared" si="108"/>
        <v>619.05771594240002</v>
      </c>
      <c r="DN107" s="58">
        <f t="shared" si="163"/>
        <v>712.5</v>
      </c>
      <c r="DO107" s="21">
        <f t="shared" si="164"/>
        <v>1.1509427661609088</v>
      </c>
      <c r="DP107" s="62">
        <f t="shared" si="165"/>
        <v>1</v>
      </c>
      <c r="DQ107" s="7" t="s">
        <v>130</v>
      </c>
      <c r="DR107" s="107">
        <f t="shared" si="111"/>
        <v>0</v>
      </c>
    </row>
    <row r="108" spans="1:122" ht="12.75" customHeight="1" x14ac:dyDescent="0.2">
      <c r="A108" s="53" t="s">
        <v>270</v>
      </c>
      <c r="B108" s="54">
        <v>2</v>
      </c>
      <c r="C108" s="92">
        <f t="shared" si="166"/>
        <v>110.64265443881197</v>
      </c>
      <c r="D108" s="92">
        <f t="shared" si="167"/>
        <v>106.91491487945304</v>
      </c>
      <c r="E108" s="92">
        <f>VLOOKUP(A108,[3]TRTOTAL!$A$7:$D$313,3,FALSE)</f>
        <v>110.64265443881197</v>
      </c>
      <c r="F108" s="92">
        <f>VLOOKUP(A108,[3]TRTOTAL!$A$7:$D$313,4,FALSE)</f>
        <v>106.91491487945304</v>
      </c>
      <c r="G108" s="92">
        <f t="shared" si="112"/>
        <v>0</v>
      </c>
      <c r="H108" s="92">
        <f t="shared" si="113"/>
        <v>0</v>
      </c>
      <c r="I108" s="54">
        <v>5.47</v>
      </c>
      <c r="J108" s="56">
        <v>5.3380000000000001</v>
      </c>
      <c r="K108" s="54">
        <v>2.5</v>
      </c>
      <c r="L108" s="57">
        <v>2</v>
      </c>
      <c r="M108" s="57">
        <v>175</v>
      </c>
      <c r="N108" s="57"/>
      <c r="O108" s="87" t="s">
        <v>133</v>
      </c>
      <c r="P108" s="24">
        <f t="shared" si="152"/>
        <v>15.5</v>
      </c>
      <c r="Q108" s="24">
        <f t="shared" si="149"/>
        <v>8.2799999999999994</v>
      </c>
      <c r="R108" s="24">
        <f t="shared" si="153"/>
        <v>5.6870000000000003</v>
      </c>
      <c r="S108" s="87">
        <v>9</v>
      </c>
      <c r="T108" s="21">
        <f t="shared" si="154"/>
        <v>4.1500000000000004</v>
      </c>
      <c r="U108" s="21"/>
      <c r="V108" s="24">
        <f t="shared" si="155"/>
        <v>2.1800000000000002</v>
      </c>
      <c r="W108" s="24">
        <f t="shared" si="156"/>
        <v>2.3400000000000003</v>
      </c>
      <c r="X108" s="24">
        <f t="shared" si="157"/>
        <v>2.8307400102271889</v>
      </c>
      <c r="Y108" s="25">
        <f t="shared" si="128"/>
        <v>1</v>
      </c>
      <c r="Z108" s="24">
        <f t="shared" si="119"/>
        <v>14.189807240261381</v>
      </c>
      <c r="AA108" s="21">
        <f t="shared" si="158"/>
        <v>0</v>
      </c>
      <c r="AB108" s="24">
        <f t="shared" si="120"/>
        <v>5.1183000000000005</v>
      </c>
      <c r="AC108" s="24">
        <f t="shared" si="142"/>
        <v>21.350371990261383</v>
      </c>
      <c r="AD108" s="58">
        <f t="shared" si="159"/>
        <v>325</v>
      </c>
      <c r="AE108" s="58">
        <f t="shared" si="160"/>
        <v>331</v>
      </c>
      <c r="AF108" s="21">
        <f t="shared" si="94"/>
        <v>2.7076437499999999</v>
      </c>
      <c r="AG108" s="77">
        <f t="shared" si="95"/>
        <v>0</v>
      </c>
      <c r="AH108" s="114">
        <f t="shared" si="129"/>
        <v>1.04</v>
      </c>
      <c r="AI108" s="59">
        <f t="shared" si="96"/>
        <v>109.69533013301125</v>
      </c>
      <c r="AJ108" s="59">
        <f t="shared" si="97"/>
        <v>105.9995075437231</v>
      </c>
      <c r="AK108" s="55"/>
      <c r="AL108" s="55">
        <v>2.1800000000000002</v>
      </c>
      <c r="AM108" s="21">
        <f t="shared" si="130"/>
        <v>0</v>
      </c>
      <c r="AN108" s="54">
        <v>8.2799999999999994</v>
      </c>
      <c r="AO108" s="55"/>
      <c r="AP108" s="21">
        <f t="shared" si="131"/>
        <v>0</v>
      </c>
      <c r="AQ108" s="55"/>
      <c r="AR108" s="55">
        <v>0</v>
      </c>
      <c r="AS108" s="21">
        <f t="shared" si="132"/>
        <v>0</v>
      </c>
      <c r="AT108" s="54"/>
      <c r="AU108" s="54"/>
      <c r="AV108" s="21">
        <f t="shared" ref="AV108:AV123" si="172">AT108*AU108*0.5</f>
        <v>0</v>
      </c>
      <c r="AW108" s="54"/>
      <c r="AX108" s="54"/>
      <c r="AY108" s="21">
        <f t="shared" si="134"/>
        <v>0</v>
      </c>
      <c r="AZ108" s="54"/>
      <c r="BA108" s="54"/>
      <c r="BB108" s="21">
        <f t="shared" si="135"/>
        <v>0</v>
      </c>
      <c r="BC108" s="54"/>
      <c r="BD108" s="54"/>
      <c r="BE108" s="21">
        <f t="shared" si="136"/>
        <v>0</v>
      </c>
      <c r="BF108" s="55"/>
      <c r="BG108" s="55"/>
      <c r="BH108" s="21">
        <f t="shared" si="137"/>
        <v>0</v>
      </c>
      <c r="BI108" s="55"/>
      <c r="BJ108" s="55"/>
      <c r="BK108" s="21">
        <f t="shared" si="138"/>
        <v>0</v>
      </c>
      <c r="BL108" s="55"/>
      <c r="BM108" s="55"/>
      <c r="BN108" s="21">
        <f t="shared" si="139"/>
        <v>0</v>
      </c>
      <c r="BO108" s="55"/>
      <c r="BP108" s="55"/>
      <c r="BQ108" s="21">
        <f t="shared" si="140"/>
        <v>0</v>
      </c>
      <c r="BR108" s="55"/>
      <c r="BS108" s="21">
        <f t="shared" si="141"/>
        <v>0</v>
      </c>
      <c r="BT108" s="56"/>
      <c r="BU108" s="56"/>
      <c r="BV108" s="21">
        <f t="shared" si="168"/>
        <v>0</v>
      </c>
      <c r="BW108" s="77">
        <f t="shared" si="121"/>
        <v>0</v>
      </c>
      <c r="BX108" s="55"/>
      <c r="BY108" s="21">
        <f t="shared" si="169"/>
        <v>0</v>
      </c>
      <c r="BZ108" s="55"/>
      <c r="CA108" s="55"/>
      <c r="CB108" s="21">
        <f t="shared" si="170"/>
        <v>0</v>
      </c>
      <c r="CC108" s="55"/>
      <c r="CD108" s="55"/>
      <c r="CE108" s="21">
        <f t="shared" si="171"/>
        <v>0</v>
      </c>
      <c r="CF108" s="21"/>
      <c r="CG108" s="21"/>
      <c r="CH108" s="21">
        <f t="shared" si="122"/>
        <v>0</v>
      </c>
      <c r="CI108" s="25">
        <f t="shared" si="123"/>
        <v>5.6870000000000003</v>
      </c>
      <c r="CJ108" s="54"/>
      <c r="CK108" s="21">
        <f t="shared" si="161"/>
        <v>0</v>
      </c>
      <c r="CL108" s="55"/>
      <c r="CM108" s="55"/>
      <c r="CN108" s="60"/>
      <c r="CO108" s="55" t="s">
        <v>517</v>
      </c>
      <c r="CP108" s="55"/>
      <c r="CQ108" s="55"/>
      <c r="CR108" s="55"/>
      <c r="CS108" s="55"/>
      <c r="CT108" s="55"/>
      <c r="CU108" s="55"/>
      <c r="CV108" s="55"/>
      <c r="CW108" s="55"/>
      <c r="CX108" s="55"/>
      <c r="CY108" s="21">
        <f t="shared" si="162"/>
        <v>0</v>
      </c>
      <c r="CZ108" s="56">
        <v>3.41</v>
      </c>
      <c r="DA108" s="56">
        <v>8.35</v>
      </c>
      <c r="DB108" s="56">
        <v>7.2</v>
      </c>
      <c r="DC108" s="56">
        <v>2.63</v>
      </c>
      <c r="DD108" s="61">
        <f t="shared" si="125"/>
        <v>0.77126099706744866</v>
      </c>
      <c r="DE108" s="21">
        <f t="shared" si="126"/>
        <v>18.050958333333334</v>
      </c>
      <c r="DF108" s="55">
        <v>15.5</v>
      </c>
      <c r="DG108" s="55">
        <v>5.6870000000000003</v>
      </c>
      <c r="DH108" s="55">
        <v>4.1500000000000004</v>
      </c>
      <c r="DI108" s="55"/>
      <c r="DJ108" s="104"/>
      <c r="DK108" s="53"/>
      <c r="DM108" s="58">
        <f t="shared" si="108"/>
        <v>804.22301262911992</v>
      </c>
      <c r="DN108" s="58">
        <f t="shared" si="163"/>
        <v>743.75</v>
      </c>
      <c r="DO108" s="21">
        <f t="shared" si="164"/>
        <v>0.92480566748341975</v>
      </c>
      <c r="DP108" s="62">
        <f t="shared" si="165"/>
        <v>1.008635958382659</v>
      </c>
      <c r="DQ108" s="7" t="s">
        <v>130</v>
      </c>
      <c r="DR108" s="107">
        <f t="shared" si="111"/>
        <v>0</v>
      </c>
    </row>
    <row r="109" spans="1:122" ht="12.75" customHeight="1" x14ac:dyDescent="0.2">
      <c r="A109" s="53" t="s">
        <v>272</v>
      </c>
      <c r="B109" s="54">
        <v>2</v>
      </c>
      <c r="C109" s="92">
        <f t="shared" si="166"/>
        <v>126.3698649420303</v>
      </c>
      <c r="D109" s="92">
        <f t="shared" si="167"/>
        <v>122.49534671900321</v>
      </c>
      <c r="E109" s="92">
        <f>VLOOKUP(A109,[3]TRTOTAL!$A$7:$D$313,3,FALSE)</f>
        <v>126.3698649420303</v>
      </c>
      <c r="F109" s="92">
        <f>VLOOKUP(A109,[3]TRTOTAL!$A$7:$D$313,4,FALSE)</f>
        <v>122.49534671900321</v>
      </c>
      <c r="G109" s="92">
        <f t="shared" si="112"/>
        <v>0</v>
      </c>
      <c r="H109" s="92">
        <f t="shared" si="113"/>
        <v>0</v>
      </c>
      <c r="I109" s="54">
        <v>4.93</v>
      </c>
      <c r="J109" s="56">
        <v>4.93</v>
      </c>
      <c r="K109" s="54">
        <v>2.16</v>
      </c>
      <c r="L109" s="57">
        <v>2</v>
      </c>
      <c r="M109" s="57"/>
      <c r="N109" s="57">
        <v>195</v>
      </c>
      <c r="O109" s="87"/>
      <c r="P109" s="24">
        <f t="shared" si="152"/>
        <v>11.972545000000002</v>
      </c>
      <c r="Q109" s="24">
        <f t="shared" si="149"/>
        <v>7.29</v>
      </c>
      <c r="R109" s="24">
        <f t="shared" si="153"/>
        <v>2.7834666666666665</v>
      </c>
      <c r="S109" s="87">
        <v>7.69</v>
      </c>
      <c r="T109" s="21">
        <f t="shared" si="154"/>
        <v>4.3239999999999998</v>
      </c>
      <c r="U109" s="21"/>
      <c r="V109" s="24">
        <f t="shared" si="155"/>
        <v>1.85</v>
      </c>
      <c r="W109" s="24">
        <f t="shared" si="156"/>
        <v>2.0055000000000001</v>
      </c>
      <c r="X109" s="24">
        <f t="shared" si="157"/>
        <v>2.9767416592652434</v>
      </c>
      <c r="Y109" s="25">
        <f t="shared" si="128"/>
        <v>1</v>
      </c>
      <c r="Z109" s="24">
        <f t="shared" si="119"/>
        <v>11.127141846608255</v>
      </c>
      <c r="AA109" s="21">
        <f t="shared" si="158"/>
        <v>1.7532543881750229</v>
      </c>
      <c r="AB109" s="24">
        <f t="shared" si="120"/>
        <v>2.3717668877968534</v>
      </c>
      <c r="AC109" s="24">
        <f t="shared" si="142"/>
        <v>14.801279038991519</v>
      </c>
      <c r="AD109" s="58">
        <f t="shared" si="159"/>
        <v>339</v>
      </c>
      <c r="AE109" s="58">
        <f t="shared" si="160"/>
        <v>345</v>
      </c>
      <c r="AF109" s="21">
        <f t="shared" si="94"/>
        <v>1.6107000000000002</v>
      </c>
      <c r="AG109" s="77">
        <f t="shared" si="95"/>
        <v>0</v>
      </c>
      <c r="AH109" s="114">
        <f t="shared" si="129"/>
        <v>1</v>
      </c>
      <c r="AI109" s="59">
        <f t="shared" si="96"/>
        <v>126.3698649420303</v>
      </c>
      <c r="AJ109" s="59">
        <f t="shared" si="97"/>
        <v>122.49534671900321</v>
      </c>
      <c r="AK109" s="55">
        <v>7.29</v>
      </c>
      <c r="AL109" s="55">
        <v>1.85</v>
      </c>
      <c r="AM109" s="21">
        <f t="shared" si="130"/>
        <v>6.7432500000000006</v>
      </c>
      <c r="AN109" s="54">
        <v>7.29</v>
      </c>
      <c r="AO109" s="55"/>
      <c r="AP109" s="21">
        <f t="shared" si="131"/>
        <v>0</v>
      </c>
      <c r="AQ109" s="55">
        <v>1.88</v>
      </c>
      <c r="AR109" s="55">
        <v>0</v>
      </c>
      <c r="AS109" s="21">
        <f t="shared" si="132"/>
        <v>0</v>
      </c>
      <c r="AT109" s="54">
        <v>7.16</v>
      </c>
      <c r="AU109" s="54">
        <v>1.02</v>
      </c>
      <c r="AV109" s="21">
        <f t="shared" si="172"/>
        <v>3.6516000000000002</v>
      </c>
      <c r="AW109" s="54">
        <v>7.1</v>
      </c>
      <c r="AX109" s="54"/>
      <c r="AY109" s="21">
        <f t="shared" si="134"/>
        <v>0</v>
      </c>
      <c r="AZ109" s="54">
        <v>5.59</v>
      </c>
      <c r="BA109" s="54"/>
      <c r="BB109" s="21">
        <f t="shared" si="135"/>
        <v>0</v>
      </c>
      <c r="BC109" s="54">
        <v>5.59</v>
      </c>
      <c r="BD109" s="54">
        <v>0.09</v>
      </c>
      <c r="BE109" s="21">
        <f t="shared" si="136"/>
        <v>0.33539999999999998</v>
      </c>
      <c r="BF109" s="55">
        <v>1.55</v>
      </c>
      <c r="BG109" s="55">
        <v>0.06</v>
      </c>
      <c r="BH109" s="21">
        <f t="shared" si="137"/>
        <v>4.65E-2</v>
      </c>
      <c r="BI109" s="55"/>
      <c r="BJ109" s="55"/>
      <c r="BK109" s="21">
        <f t="shared" si="138"/>
        <v>0</v>
      </c>
      <c r="BL109" s="55"/>
      <c r="BM109" s="55"/>
      <c r="BN109" s="21">
        <f t="shared" si="139"/>
        <v>0</v>
      </c>
      <c r="BO109" s="55"/>
      <c r="BP109" s="55"/>
      <c r="BQ109" s="21">
        <f t="shared" si="140"/>
        <v>0</v>
      </c>
      <c r="BR109" s="55"/>
      <c r="BS109" s="21">
        <f t="shared" si="141"/>
        <v>10.776750000000002</v>
      </c>
      <c r="BT109" s="56">
        <v>4.5999999999999996</v>
      </c>
      <c r="BU109" s="56">
        <v>1.26</v>
      </c>
      <c r="BV109" s="21">
        <f t="shared" si="168"/>
        <v>2.8979999999999997</v>
      </c>
      <c r="BW109" s="77">
        <f t="shared" si="121"/>
        <v>4.5999999999999996</v>
      </c>
      <c r="BX109" s="55">
        <v>0.01</v>
      </c>
      <c r="BY109" s="21">
        <f t="shared" si="169"/>
        <v>3.0666666666666665E-2</v>
      </c>
      <c r="BZ109" s="55">
        <v>2.2799999999999998</v>
      </c>
      <c r="CA109" s="55">
        <v>0.02</v>
      </c>
      <c r="CB109" s="21">
        <f t="shared" si="170"/>
        <v>3.0399999999999996E-2</v>
      </c>
      <c r="CC109" s="54">
        <v>4.3899999999999997</v>
      </c>
      <c r="CD109" s="54">
        <v>-0.06</v>
      </c>
      <c r="CE109" s="21">
        <f t="shared" si="171"/>
        <v>-0.17559999999999998</v>
      </c>
      <c r="CF109" s="21"/>
      <c r="CG109" s="21"/>
      <c r="CH109" s="21">
        <f t="shared" si="122"/>
        <v>0</v>
      </c>
      <c r="CI109" s="25">
        <f t="shared" si="123"/>
        <v>2.7834666666666665</v>
      </c>
      <c r="CJ109" s="54">
        <v>0.311</v>
      </c>
      <c r="CK109" s="21">
        <f t="shared" si="161"/>
        <v>1.1957950000000002</v>
      </c>
      <c r="CL109" s="55">
        <v>4734</v>
      </c>
      <c r="CM109" s="55"/>
      <c r="CN109" s="31">
        <v>40717</v>
      </c>
      <c r="CO109" s="30" t="s">
        <v>220</v>
      </c>
      <c r="CP109" s="55"/>
      <c r="CQ109" s="55"/>
      <c r="CR109" s="55"/>
      <c r="CS109" s="55"/>
      <c r="CT109" s="55"/>
      <c r="CU109" s="55"/>
      <c r="CV109" s="55"/>
      <c r="CW109" s="55"/>
      <c r="CX109" s="55"/>
      <c r="CY109" s="21">
        <f t="shared" si="162"/>
        <v>0</v>
      </c>
      <c r="CZ109" s="56">
        <v>2.6</v>
      </c>
      <c r="DA109" s="56">
        <v>6.38</v>
      </c>
      <c r="DB109" s="56">
        <v>5.42</v>
      </c>
      <c r="DC109" s="56">
        <v>2.08</v>
      </c>
      <c r="DD109" s="61">
        <f t="shared" si="125"/>
        <v>0.8</v>
      </c>
      <c r="DE109" s="21">
        <f t="shared" si="126"/>
        <v>10.738000000000001</v>
      </c>
      <c r="DF109" s="55"/>
      <c r="DG109" s="55"/>
      <c r="DH109" s="55"/>
      <c r="DI109" s="55"/>
      <c r="DJ109" s="104"/>
      <c r="DK109" s="53"/>
      <c r="DM109" s="58">
        <f t="shared" si="108"/>
        <v>537.4415598054361</v>
      </c>
      <c r="DN109" s="58">
        <f t="shared" si="163"/>
        <v>678.12</v>
      </c>
      <c r="DO109" s="21">
        <f t="shared" si="164"/>
        <v>1.2617557902397651</v>
      </c>
      <c r="DP109" s="62">
        <f t="shared" si="165"/>
        <v>1</v>
      </c>
      <c r="DQ109" s="7">
        <v>0</v>
      </c>
      <c r="DR109" s="107">
        <f t="shared" si="111"/>
        <v>0</v>
      </c>
    </row>
    <row r="110" spans="1:122" ht="12.75" customHeight="1" x14ac:dyDescent="0.2">
      <c r="A110" s="53" t="s">
        <v>273</v>
      </c>
      <c r="B110" s="54">
        <v>2</v>
      </c>
      <c r="C110" s="92">
        <f t="shared" si="166"/>
        <v>104.38083581564808</v>
      </c>
      <c r="D110" s="92">
        <f t="shared" si="167"/>
        <v>99.960418870354729</v>
      </c>
      <c r="E110" s="92">
        <f>VLOOKUP(A110,[3]TRTOTAL!$A$7:$D$313,3,FALSE)</f>
        <v>104.95771809188007</v>
      </c>
      <c r="F110" s="92">
        <f>VLOOKUP(A110,[3]TRTOTAL!$A$7:$D$313,4,FALSE)</f>
        <v>100.37014141528145</v>
      </c>
      <c r="G110" s="92">
        <f t="shared" si="112"/>
        <v>-0.57688227623198429</v>
      </c>
      <c r="H110" s="92">
        <f t="shared" si="113"/>
        <v>-0.40972254492672278</v>
      </c>
      <c r="I110" s="54">
        <v>5.52</v>
      </c>
      <c r="J110" s="56">
        <v>5.52</v>
      </c>
      <c r="K110" s="54">
        <v>2.6</v>
      </c>
      <c r="L110" s="57">
        <v>2</v>
      </c>
      <c r="M110" s="57"/>
      <c r="N110" s="57">
        <v>180</v>
      </c>
      <c r="O110" s="87"/>
      <c r="P110" s="24">
        <f t="shared" si="152"/>
        <v>17</v>
      </c>
      <c r="Q110" s="24">
        <f t="shared" si="149"/>
        <v>9.0500000000000007</v>
      </c>
      <c r="R110" s="24">
        <f t="shared" si="153"/>
        <v>4.3</v>
      </c>
      <c r="S110" s="87">
        <v>9.0500000000000007</v>
      </c>
      <c r="T110" s="21">
        <f t="shared" si="154"/>
        <v>5.73</v>
      </c>
      <c r="U110" s="21">
        <v>2.1</v>
      </c>
      <c r="V110" s="24">
        <f t="shared" si="155"/>
        <v>2.1</v>
      </c>
      <c r="W110" s="24">
        <f t="shared" si="156"/>
        <v>2.2600000000000002</v>
      </c>
      <c r="X110" s="24">
        <f t="shared" si="157"/>
        <v>3.3283734043386315</v>
      </c>
      <c r="Y110" s="25">
        <f t="shared" si="128"/>
        <v>1</v>
      </c>
      <c r="Z110" s="24">
        <f t="shared" si="119"/>
        <v>16.337791034816128</v>
      </c>
      <c r="AA110" s="21">
        <f t="shared" si="158"/>
        <v>0</v>
      </c>
      <c r="AB110" s="24">
        <f t="shared" si="120"/>
        <v>3.87</v>
      </c>
      <c r="AC110" s="24">
        <f t="shared" si="142"/>
        <v>22.854691034816128</v>
      </c>
      <c r="AD110" s="58">
        <f t="shared" si="159"/>
        <v>324</v>
      </c>
      <c r="AE110" s="58">
        <f t="shared" si="160"/>
        <v>330</v>
      </c>
      <c r="AF110" s="21">
        <f t="shared" si="94"/>
        <v>3.15</v>
      </c>
      <c r="AG110" s="77">
        <f t="shared" si="95"/>
        <v>0</v>
      </c>
      <c r="AH110" s="114">
        <f t="shared" si="129"/>
        <v>1</v>
      </c>
      <c r="AI110" s="59">
        <f t="shared" si="96"/>
        <v>102.43303194979761</v>
      </c>
      <c r="AJ110" s="59">
        <f t="shared" si="97"/>
        <v>98.095102418476685</v>
      </c>
      <c r="AK110" s="55"/>
      <c r="AL110" s="55"/>
      <c r="AM110" s="21">
        <f t="shared" si="130"/>
        <v>0</v>
      </c>
      <c r="AN110" s="54">
        <v>9.0500000000000007</v>
      </c>
      <c r="AO110" s="55"/>
      <c r="AP110" s="21">
        <f t="shared" si="131"/>
        <v>0</v>
      </c>
      <c r="AQ110" s="55"/>
      <c r="AR110" s="55"/>
      <c r="AS110" s="21">
        <f t="shared" si="132"/>
        <v>0</v>
      </c>
      <c r="AT110" s="54"/>
      <c r="AU110" s="54"/>
      <c r="AV110" s="21">
        <f t="shared" si="172"/>
        <v>0</v>
      </c>
      <c r="AW110" s="54"/>
      <c r="AX110" s="54"/>
      <c r="AY110" s="21">
        <f t="shared" si="134"/>
        <v>0</v>
      </c>
      <c r="AZ110" s="54"/>
      <c r="BA110" s="54"/>
      <c r="BB110" s="21">
        <f t="shared" si="135"/>
        <v>0</v>
      </c>
      <c r="BC110" s="54"/>
      <c r="BD110" s="54"/>
      <c r="BE110" s="21">
        <f t="shared" si="136"/>
        <v>0</v>
      </c>
      <c r="BF110" s="55"/>
      <c r="BG110" s="55"/>
      <c r="BH110" s="21">
        <f t="shared" si="137"/>
        <v>0</v>
      </c>
      <c r="BI110" s="55"/>
      <c r="BJ110" s="55"/>
      <c r="BK110" s="21">
        <f t="shared" si="138"/>
        <v>0</v>
      </c>
      <c r="BL110" s="55"/>
      <c r="BM110" s="55"/>
      <c r="BN110" s="21">
        <f t="shared" si="139"/>
        <v>0</v>
      </c>
      <c r="BO110" s="55"/>
      <c r="BP110" s="55"/>
      <c r="BQ110" s="21">
        <f t="shared" si="140"/>
        <v>0</v>
      </c>
      <c r="BR110" s="55"/>
      <c r="BS110" s="21">
        <f t="shared" si="141"/>
        <v>0</v>
      </c>
      <c r="BT110" s="56">
        <v>0</v>
      </c>
      <c r="BU110" s="56"/>
      <c r="BV110" s="21">
        <f t="shared" si="168"/>
        <v>0</v>
      </c>
      <c r="BW110" s="77">
        <f t="shared" si="121"/>
        <v>0</v>
      </c>
      <c r="BX110" s="55"/>
      <c r="BY110" s="21">
        <f t="shared" si="169"/>
        <v>0</v>
      </c>
      <c r="BZ110" s="55"/>
      <c r="CA110" s="55"/>
      <c r="CB110" s="21">
        <f t="shared" si="170"/>
        <v>0</v>
      </c>
      <c r="CC110" s="55"/>
      <c r="CD110" s="55"/>
      <c r="CE110" s="21">
        <f t="shared" si="171"/>
        <v>0</v>
      </c>
      <c r="CF110" s="21"/>
      <c r="CG110" s="21"/>
      <c r="CH110" s="21">
        <f t="shared" si="122"/>
        <v>0</v>
      </c>
      <c r="CI110" s="25">
        <f t="shared" si="123"/>
        <v>4.3</v>
      </c>
      <c r="CJ110" s="54"/>
      <c r="CK110" s="21">
        <f t="shared" si="161"/>
        <v>0</v>
      </c>
      <c r="CL110" s="55"/>
      <c r="CM110" s="55"/>
      <c r="CN110" s="60"/>
      <c r="CO110" s="55"/>
      <c r="CP110" s="55"/>
      <c r="CQ110" s="55"/>
      <c r="CR110" s="55"/>
      <c r="CS110" s="55"/>
      <c r="CT110" s="55"/>
      <c r="CU110" s="55"/>
      <c r="CV110" s="55"/>
      <c r="CW110" s="55"/>
      <c r="CX110" s="55"/>
      <c r="CY110" s="21">
        <f t="shared" si="162"/>
        <v>0</v>
      </c>
      <c r="CZ110" s="56"/>
      <c r="DA110" s="56"/>
      <c r="DB110" s="56"/>
      <c r="DC110" s="56"/>
      <c r="DD110" s="61">
        <f t="shared" si="125"/>
        <v>0</v>
      </c>
      <c r="DE110" s="21">
        <f t="shared" si="126"/>
        <v>21</v>
      </c>
      <c r="DF110" s="55">
        <v>17</v>
      </c>
      <c r="DG110" s="55">
        <v>4.3</v>
      </c>
      <c r="DH110" s="55">
        <v>5.73</v>
      </c>
      <c r="DI110" s="55">
        <v>21</v>
      </c>
      <c r="DJ110" s="104"/>
      <c r="DK110" s="53" t="s">
        <v>169</v>
      </c>
      <c r="DM110" s="58">
        <f t="shared" si="108"/>
        <v>909.31118396160002</v>
      </c>
      <c r="DN110" s="58">
        <f t="shared" si="163"/>
        <v>766.2</v>
      </c>
      <c r="DO110" s="21">
        <f t="shared" si="164"/>
        <v>0.84261583219717273</v>
      </c>
      <c r="DP110" s="62">
        <f t="shared" si="165"/>
        <v>1.0190153881885005</v>
      </c>
      <c r="DQ110" s="7" t="s">
        <v>130</v>
      </c>
      <c r="DR110" s="107" t="str">
        <f t="shared" si="111"/>
        <v>yes</v>
      </c>
    </row>
    <row r="111" spans="1:122" ht="12.75" customHeight="1" x14ac:dyDescent="0.2">
      <c r="A111" s="53" t="s">
        <v>274</v>
      </c>
      <c r="B111" s="54">
        <v>2</v>
      </c>
      <c r="C111" s="92">
        <f t="shared" si="166"/>
        <v>104.38083581564808</v>
      </c>
      <c r="D111" s="92">
        <f t="shared" si="167"/>
        <v>99.960418870354729</v>
      </c>
      <c r="E111" s="92">
        <f>VLOOKUP(A111,[3]TRTOTAL!$A$7:$D$313,3,FALSE)</f>
        <v>104.95771809188007</v>
      </c>
      <c r="F111" s="92">
        <f>VLOOKUP(A111,[3]TRTOTAL!$A$7:$D$313,4,FALSE)</f>
        <v>100.37014141528145</v>
      </c>
      <c r="G111" s="92">
        <f t="shared" si="112"/>
        <v>-0.57688227623198429</v>
      </c>
      <c r="H111" s="92">
        <f t="shared" si="113"/>
        <v>-0.40972254492672278</v>
      </c>
      <c r="I111" s="54">
        <v>5.52</v>
      </c>
      <c r="J111" s="56">
        <v>5.52</v>
      </c>
      <c r="K111" s="54">
        <v>2.6</v>
      </c>
      <c r="L111" s="57">
        <v>2</v>
      </c>
      <c r="M111" s="57"/>
      <c r="N111" s="57">
        <v>180</v>
      </c>
      <c r="O111" s="87"/>
      <c r="P111" s="24">
        <f t="shared" si="152"/>
        <v>17</v>
      </c>
      <c r="Q111" s="24">
        <f t="shared" si="149"/>
        <v>9.0500000000000007</v>
      </c>
      <c r="R111" s="24">
        <f t="shared" si="153"/>
        <v>4.3</v>
      </c>
      <c r="S111" s="87">
        <v>9.0500000000000007</v>
      </c>
      <c r="T111" s="21">
        <f t="shared" si="154"/>
        <v>5.73</v>
      </c>
      <c r="U111" s="21">
        <v>2.1</v>
      </c>
      <c r="V111" s="24">
        <f t="shared" si="155"/>
        <v>2.1</v>
      </c>
      <c r="W111" s="24">
        <f t="shared" si="156"/>
        <v>2.2600000000000002</v>
      </c>
      <c r="X111" s="24">
        <f t="shared" si="157"/>
        <v>3.3283734043386315</v>
      </c>
      <c r="Y111" s="25">
        <f t="shared" si="128"/>
        <v>1</v>
      </c>
      <c r="Z111" s="24">
        <f t="shared" si="119"/>
        <v>16.337791034816128</v>
      </c>
      <c r="AA111" s="21">
        <f t="shared" si="158"/>
        <v>0</v>
      </c>
      <c r="AB111" s="24">
        <f t="shared" si="120"/>
        <v>3.87</v>
      </c>
      <c r="AC111" s="24">
        <f t="shared" si="142"/>
        <v>22.854691034816128</v>
      </c>
      <c r="AD111" s="58">
        <f t="shared" si="159"/>
        <v>324</v>
      </c>
      <c r="AE111" s="58">
        <f t="shared" si="160"/>
        <v>330</v>
      </c>
      <c r="AF111" s="21">
        <f t="shared" si="94"/>
        <v>3.15</v>
      </c>
      <c r="AG111" s="77">
        <f t="shared" si="95"/>
        <v>0</v>
      </c>
      <c r="AH111" s="114">
        <f t="shared" si="129"/>
        <v>1</v>
      </c>
      <c r="AI111" s="59">
        <f t="shared" si="96"/>
        <v>102.43303194979761</v>
      </c>
      <c r="AJ111" s="59">
        <f t="shared" si="97"/>
        <v>98.095102418476685</v>
      </c>
      <c r="AK111" s="55"/>
      <c r="AL111" s="55"/>
      <c r="AM111" s="21">
        <f t="shared" si="130"/>
        <v>0</v>
      </c>
      <c r="AN111" s="54">
        <v>9.0500000000000007</v>
      </c>
      <c r="AO111" s="55"/>
      <c r="AP111" s="21">
        <f t="shared" si="131"/>
        <v>0</v>
      </c>
      <c r="AQ111" s="55"/>
      <c r="AR111" s="55"/>
      <c r="AS111" s="21">
        <f t="shared" si="132"/>
        <v>0</v>
      </c>
      <c r="AT111" s="54"/>
      <c r="AU111" s="54"/>
      <c r="AV111" s="21">
        <f t="shared" si="172"/>
        <v>0</v>
      </c>
      <c r="AW111" s="54"/>
      <c r="AX111" s="54"/>
      <c r="AY111" s="21">
        <f t="shared" si="134"/>
        <v>0</v>
      </c>
      <c r="AZ111" s="54"/>
      <c r="BA111" s="54"/>
      <c r="BB111" s="21">
        <f t="shared" si="135"/>
        <v>0</v>
      </c>
      <c r="BC111" s="54"/>
      <c r="BD111" s="54"/>
      <c r="BE111" s="21">
        <f t="shared" si="136"/>
        <v>0</v>
      </c>
      <c r="BF111" s="55"/>
      <c r="BG111" s="55"/>
      <c r="BH111" s="21">
        <f t="shared" si="137"/>
        <v>0</v>
      </c>
      <c r="BI111" s="55"/>
      <c r="BJ111" s="55"/>
      <c r="BK111" s="21">
        <f t="shared" si="138"/>
        <v>0</v>
      </c>
      <c r="BL111" s="55"/>
      <c r="BM111" s="55"/>
      <c r="BN111" s="21">
        <f t="shared" si="139"/>
        <v>0</v>
      </c>
      <c r="BO111" s="55"/>
      <c r="BP111" s="55"/>
      <c r="BQ111" s="21">
        <f t="shared" si="140"/>
        <v>0</v>
      </c>
      <c r="BR111" s="55"/>
      <c r="BS111" s="21">
        <f t="shared" si="141"/>
        <v>0</v>
      </c>
      <c r="BT111" s="56">
        <v>0</v>
      </c>
      <c r="BU111" s="56"/>
      <c r="BV111" s="21">
        <f t="shared" si="168"/>
        <v>0</v>
      </c>
      <c r="BW111" s="77">
        <f t="shared" si="121"/>
        <v>0</v>
      </c>
      <c r="BX111" s="55"/>
      <c r="BY111" s="21">
        <f t="shared" si="169"/>
        <v>0</v>
      </c>
      <c r="BZ111" s="55"/>
      <c r="CA111" s="55"/>
      <c r="CB111" s="21">
        <f t="shared" si="170"/>
        <v>0</v>
      </c>
      <c r="CC111" s="55"/>
      <c r="CD111" s="55"/>
      <c r="CE111" s="21">
        <f t="shared" si="171"/>
        <v>0</v>
      </c>
      <c r="CF111" s="21"/>
      <c r="CG111" s="21"/>
      <c r="CH111" s="21">
        <f t="shared" si="122"/>
        <v>0</v>
      </c>
      <c r="CI111" s="25">
        <f t="shared" si="123"/>
        <v>4.3</v>
      </c>
      <c r="CJ111" s="54"/>
      <c r="CK111" s="21">
        <f t="shared" si="161"/>
        <v>0</v>
      </c>
      <c r="CL111" s="55"/>
      <c r="CM111" s="55"/>
      <c r="CN111" s="60"/>
      <c r="CO111" s="55"/>
      <c r="CP111" s="55"/>
      <c r="CQ111" s="55"/>
      <c r="CR111" s="55"/>
      <c r="CS111" s="55"/>
      <c r="CT111" s="55"/>
      <c r="CU111" s="55"/>
      <c r="CV111" s="55"/>
      <c r="CW111" s="55"/>
      <c r="CX111" s="55"/>
      <c r="CY111" s="21">
        <f t="shared" si="162"/>
        <v>0</v>
      </c>
      <c r="CZ111" s="56"/>
      <c r="DA111" s="56"/>
      <c r="DB111" s="56"/>
      <c r="DC111" s="56"/>
      <c r="DD111" s="61">
        <f t="shared" si="125"/>
        <v>0</v>
      </c>
      <c r="DE111" s="21">
        <f t="shared" si="126"/>
        <v>21</v>
      </c>
      <c r="DF111" s="55">
        <v>17</v>
      </c>
      <c r="DG111" s="55">
        <v>4.3</v>
      </c>
      <c r="DH111" s="55">
        <v>5.73</v>
      </c>
      <c r="DI111" s="55">
        <v>21</v>
      </c>
      <c r="DJ111" s="104"/>
      <c r="DK111" s="53" t="s">
        <v>169</v>
      </c>
      <c r="DM111" s="58">
        <f t="shared" si="108"/>
        <v>909.31118396160002</v>
      </c>
      <c r="DN111" s="58">
        <f t="shared" si="163"/>
        <v>766.2</v>
      </c>
      <c r="DO111" s="21">
        <f t="shared" si="164"/>
        <v>0.84261583219717273</v>
      </c>
      <c r="DP111" s="62">
        <f t="shared" si="165"/>
        <v>1.0190153881885005</v>
      </c>
      <c r="DQ111" s="7" t="s">
        <v>130</v>
      </c>
      <c r="DR111" s="107" t="str">
        <f t="shared" si="111"/>
        <v>yes</v>
      </c>
    </row>
    <row r="112" spans="1:122" ht="12.75" customHeight="1" x14ac:dyDescent="0.2">
      <c r="A112" s="53" t="s">
        <v>275</v>
      </c>
      <c r="B112" s="54">
        <v>2</v>
      </c>
      <c r="C112" s="92">
        <f t="shared" si="166"/>
        <v>111.77137603496861</v>
      </c>
      <c r="D112" s="92">
        <f t="shared" si="167"/>
        <v>106.283524523601</v>
      </c>
      <c r="E112" s="92">
        <f>VLOOKUP(A112,[3]TRTOTAL!$A$7:$D$313,3,FALSE)</f>
        <v>111.77137603496861</v>
      </c>
      <c r="F112" s="92">
        <f>VLOOKUP(A112,[3]TRTOTAL!$A$7:$D$313,4,FALSE)</f>
        <v>106.283524523601</v>
      </c>
      <c r="G112" s="92">
        <f t="shared" si="112"/>
        <v>0</v>
      </c>
      <c r="H112" s="92">
        <f t="shared" si="113"/>
        <v>0</v>
      </c>
      <c r="I112" s="54">
        <v>4.9000000000000004</v>
      </c>
      <c r="J112" s="56">
        <v>4.9000000000000004</v>
      </c>
      <c r="K112" s="54">
        <v>2.44</v>
      </c>
      <c r="L112" s="57">
        <v>1</v>
      </c>
      <c r="M112" s="57">
        <v>141</v>
      </c>
      <c r="N112" s="57"/>
      <c r="O112" s="87"/>
      <c r="P112" s="24">
        <f t="shared" si="152"/>
        <v>14.87</v>
      </c>
      <c r="Q112" s="24">
        <f t="shared" si="149"/>
        <v>7.73</v>
      </c>
      <c r="R112" s="24">
        <f t="shared" si="153"/>
        <v>4.5599999999999996</v>
      </c>
      <c r="S112" s="87">
        <v>8.3000000000000007</v>
      </c>
      <c r="T112" s="21">
        <f t="shared" si="154"/>
        <v>5.09</v>
      </c>
      <c r="U112" s="21"/>
      <c r="V112" s="24">
        <f t="shared" si="155"/>
        <v>2.319</v>
      </c>
      <c r="W112" s="24">
        <f t="shared" si="156"/>
        <v>2.4790000000000001</v>
      </c>
      <c r="X112" s="24">
        <f t="shared" si="157"/>
        <v>2.4196798895311171</v>
      </c>
      <c r="Y112" s="25">
        <f t="shared" si="128"/>
        <v>1</v>
      </c>
      <c r="Z112" s="24">
        <f t="shared" si="119"/>
        <v>12.98712874150641</v>
      </c>
      <c r="AA112" s="21">
        <f t="shared" si="158"/>
        <v>0</v>
      </c>
      <c r="AB112" s="24">
        <f t="shared" si="120"/>
        <v>4.1040000000000001</v>
      </c>
      <c r="AC112" s="24">
        <f t="shared" si="142"/>
        <v>19.707608741506409</v>
      </c>
      <c r="AD112" s="58">
        <f t="shared" si="159"/>
        <v>291</v>
      </c>
      <c r="AE112" s="58">
        <f t="shared" si="160"/>
        <v>297</v>
      </c>
      <c r="AF112" s="21">
        <f t="shared" si="94"/>
        <v>3.15</v>
      </c>
      <c r="AG112" s="77">
        <f t="shared" si="95"/>
        <v>0</v>
      </c>
      <c r="AH112" s="114">
        <f t="shared" si="129"/>
        <v>1</v>
      </c>
      <c r="AI112" s="59">
        <f t="shared" si="96"/>
        <v>109.62264050930283</v>
      </c>
      <c r="AJ112" s="59">
        <f t="shared" si="97"/>
        <v>104.24028954664783</v>
      </c>
      <c r="AK112" s="55"/>
      <c r="AL112" s="55"/>
      <c r="AM112" s="21">
        <f t="shared" si="130"/>
        <v>0</v>
      </c>
      <c r="AN112" s="54">
        <v>7.73</v>
      </c>
      <c r="AO112" s="55"/>
      <c r="AP112" s="21">
        <f t="shared" si="131"/>
        <v>0</v>
      </c>
      <c r="AQ112" s="55"/>
      <c r="AR112" s="55"/>
      <c r="AS112" s="21">
        <f t="shared" si="132"/>
        <v>0</v>
      </c>
      <c r="AT112" s="54"/>
      <c r="AU112" s="54"/>
      <c r="AV112" s="21">
        <f t="shared" si="172"/>
        <v>0</v>
      </c>
      <c r="AW112" s="54"/>
      <c r="AX112" s="54"/>
      <c r="AY112" s="21">
        <f t="shared" si="134"/>
        <v>0</v>
      </c>
      <c r="AZ112" s="54"/>
      <c r="BA112" s="54"/>
      <c r="BB112" s="21">
        <f t="shared" si="135"/>
        <v>0</v>
      </c>
      <c r="BC112" s="54"/>
      <c r="BD112" s="54"/>
      <c r="BE112" s="21">
        <f t="shared" si="136"/>
        <v>0</v>
      </c>
      <c r="BF112" s="55"/>
      <c r="BG112" s="55"/>
      <c r="BH112" s="21">
        <f t="shared" si="137"/>
        <v>0</v>
      </c>
      <c r="BI112" s="55"/>
      <c r="BJ112" s="55"/>
      <c r="BK112" s="21">
        <f t="shared" si="138"/>
        <v>0</v>
      </c>
      <c r="BL112" s="55"/>
      <c r="BM112" s="55"/>
      <c r="BN112" s="21">
        <f t="shared" si="139"/>
        <v>0</v>
      </c>
      <c r="BO112" s="55"/>
      <c r="BP112" s="55"/>
      <c r="BQ112" s="21">
        <f t="shared" si="140"/>
        <v>0</v>
      </c>
      <c r="BR112" s="55"/>
      <c r="BS112" s="21">
        <f t="shared" si="141"/>
        <v>0</v>
      </c>
      <c r="BT112" s="56">
        <v>0</v>
      </c>
      <c r="BU112" s="56"/>
      <c r="BV112" s="21">
        <f t="shared" si="168"/>
        <v>0</v>
      </c>
      <c r="BW112" s="77">
        <f t="shared" si="121"/>
        <v>0</v>
      </c>
      <c r="BX112" s="55"/>
      <c r="BY112" s="21">
        <f t="shared" si="169"/>
        <v>0</v>
      </c>
      <c r="BZ112" s="55"/>
      <c r="CA112" s="55"/>
      <c r="CB112" s="21">
        <f t="shared" si="170"/>
        <v>0</v>
      </c>
      <c r="CC112" s="54"/>
      <c r="CD112" s="54"/>
      <c r="CE112" s="21">
        <f t="shared" si="171"/>
        <v>0</v>
      </c>
      <c r="CF112" s="21"/>
      <c r="CG112" s="21"/>
      <c r="CH112" s="21">
        <f t="shared" si="122"/>
        <v>0</v>
      </c>
      <c r="CI112" s="25">
        <f t="shared" si="123"/>
        <v>4.5599999999999996</v>
      </c>
      <c r="CJ112" s="54"/>
      <c r="CK112" s="21">
        <f t="shared" si="161"/>
        <v>0</v>
      </c>
      <c r="CL112" s="55"/>
      <c r="CM112" s="55"/>
      <c r="CN112" s="60"/>
      <c r="CO112" s="55"/>
      <c r="CP112" s="55"/>
      <c r="CQ112" s="55"/>
      <c r="CR112" s="55"/>
      <c r="CS112" s="55"/>
      <c r="CT112" s="55"/>
      <c r="CU112" s="55"/>
      <c r="CV112" s="55"/>
      <c r="CW112" s="55"/>
      <c r="CX112" s="55"/>
      <c r="CY112" s="21">
        <f t="shared" si="162"/>
        <v>0</v>
      </c>
      <c r="CZ112" s="56"/>
      <c r="DA112" s="56"/>
      <c r="DB112" s="56"/>
      <c r="DC112" s="56"/>
      <c r="DD112" s="61">
        <f t="shared" si="125"/>
        <v>0</v>
      </c>
      <c r="DE112" s="21">
        <f t="shared" si="126"/>
        <v>0</v>
      </c>
      <c r="DF112" s="55">
        <v>14.87</v>
      </c>
      <c r="DG112" s="55">
        <v>4.5599999999999996</v>
      </c>
      <c r="DH112" s="55">
        <v>5.09</v>
      </c>
      <c r="DI112" s="55"/>
      <c r="DJ112" s="104"/>
      <c r="DK112" s="53"/>
      <c r="DM112" s="58">
        <f t="shared" si="108"/>
        <v>731.3311760563198</v>
      </c>
      <c r="DN112" s="58">
        <f t="shared" si="163"/>
        <v>613.02</v>
      </c>
      <c r="DO112" s="21">
        <f t="shared" si="164"/>
        <v>0.83822489737917494</v>
      </c>
      <c r="DP112" s="62">
        <f t="shared" si="165"/>
        <v>1.01960120204807</v>
      </c>
      <c r="DQ112" s="7" t="s">
        <v>130</v>
      </c>
      <c r="DR112" s="107">
        <f t="shared" si="111"/>
        <v>0</v>
      </c>
    </row>
    <row r="113" spans="1:122" ht="12.75" customHeight="1" x14ac:dyDescent="0.2">
      <c r="A113" s="53" t="s">
        <v>513</v>
      </c>
      <c r="B113" s="54">
        <v>2</v>
      </c>
      <c r="C113" s="92">
        <f t="shared" si="166"/>
        <v>104.2116453791527</v>
      </c>
      <c r="D113" s="92">
        <f t="shared" si="167"/>
        <v>99.942636385382286</v>
      </c>
      <c r="E113" s="92">
        <f>VLOOKUP(A113,[3]TRTOTAL!$A$7:$D$313,3,FALSE)</f>
        <v>104.2116453791527</v>
      </c>
      <c r="F113" s="92">
        <f>VLOOKUP(A113,[3]TRTOTAL!$A$7:$D$313,4,FALSE)</f>
        <v>99.942636385382286</v>
      </c>
      <c r="G113" s="92">
        <f t="shared" si="112"/>
        <v>0</v>
      </c>
      <c r="H113" s="92">
        <f t="shared" si="113"/>
        <v>0</v>
      </c>
      <c r="I113" s="54">
        <v>5.9</v>
      </c>
      <c r="J113" s="56">
        <v>5.7530000000000001</v>
      </c>
      <c r="K113" s="54">
        <v>2.44</v>
      </c>
      <c r="L113" s="57">
        <v>2</v>
      </c>
      <c r="M113" s="57">
        <v>173</v>
      </c>
      <c r="N113" s="57"/>
      <c r="O113" s="87"/>
      <c r="P113" s="24">
        <f t="shared" si="152"/>
        <v>17.594107333333334</v>
      </c>
      <c r="Q113" s="24">
        <f t="shared" si="149"/>
        <v>8.4649999999999999</v>
      </c>
      <c r="R113" s="24">
        <f t="shared" si="153"/>
        <v>5.7926355000000012</v>
      </c>
      <c r="S113" s="87">
        <v>9</v>
      </c>
      <c r="T113" s="21">
        <f t="shared" si="154"/>
        <v>5.6635</v>
      </c>
      <c r="U113" s="21"/>
      <c r="V113" s="24">
        <f t="shared" si="155"/>
        <v>2.508</v>
      </c>
      <c r="W113" s="24">
        <f t="shared" si="156"/>
        <v>2.6680000000000001</v>
      </c>
      <c r="X113" s="24">
        <f t="shared" si="157"/>
        <v>2.4716990267984449</v>
      </c>
      <c r="Y113" s="25">
        <f t="shared" si="128"/>
        <v>1</v>
      </c>
      <c r="Z113" s="24">
        <f t="shared" si="119"/>
        <v>15.464672090161457</v>
      </c>
      <c r="AA113" s="21">
        <f t="shared" si="158"/>
        <v>1.4042885496371966</v>
      </c>
      <c r="AB113" s="24">
        <f t="shared" si="120"/>
        <v>4.6179114863293762</v>
      </c>
      <c r="AC113" s="24">
        <f t="shared" si="142"/>
        <v>22.632255083268014</v>
      </c>
      <c r="AD113" s="58">
        <f t="shared" si="159"/>
        <v>323</v>
      </c>
      <c r="AE113" s="58">
        <f t="shared" si="160"/>
        <v>329</v>
      </c>
      <c r="AF113" s="21">
        <f t="shared" si="94"/>
        <v>3.15</v>
      </c>
      <c r="AG113" s="77">
        <f t="shared" si="95"/>
        <v>0</v>
      </c>
      <c r="AH113" s="114">
        <f t="shared" si="129"/>
        <v>1</v>
      </c>
      <c r="AI113" s="59">
        <f t="shared" si="96"/>
        <v>101.32038561214328</v>
      </c>
      <c r="AJ113" s="59">
        <f t="shared" si="97"/>
        <v>97.169816490459951</v>
      </c>
      <c r="AK113" s="55">
        <v>8.2959999999999994</v>
      </c>
      <c r="AL113" s="55">
        <v>2.508</v>
      </c>
      <c r="AM113" s="21">
        <f t="shared" si="130"/>
        <v>10.403184</v>
      </c>
      <c r="AN113" s="54">
        <v>8.4649999999999999</v>
      </c>
      <c r="AO113" s="55">
        <v>0.13400000000000001</v>
      </c>
      <c r="AP113" s="21">
        <f t="shared" si="131"/>
        <v>0.7562066666666668</v>
      </c>
      <c r="AQ113" s="55"/>
      <c r="AR113" s="55"/>
      <c r="AS113" s="21">
        <f t="shared" si="132"/>
        <v>0</v>
      </c>
      <c r="AT113" s="54">
        <v>8.2959999999999994</v>
      </c>
      <c r="AU113" s="54">
        <v>0.72899999999999998</v>
      </c>
      <c r="AV113" s="21">
        <f t="shared" si="172"/>
        <v>3.0238919999999996</v>
      </c>
      <c r="AW113" s="54">
        <v>1.6319999999999999</v>
      </c>
      <c r="AX113" s="54">
        <v>0.108</v>
      </c>
      <c r="AY113" s="21">
        <f t="shared" si="134"/>
        <v>8.8127999999999998E-2</v>
      </c>
      <c r="AZ113" s="54">
        <v>6.8949999999999996</v>
      </c>
      <c r="BA113" s="54">
        <v>0.40300000000000002</v>
      </c>
      <c r="BB113" s="21">
        <f t="shared" si="135"/>
        <v>1.8524566666666666</v>
      </c>
      <c r="BC113" s="54"/>
      <c r="BD113" s="54"/>
      <c r="BE113" s="21">
        <f t="shared" si="136"/>
        <v>0</v>
      </c>
      <c r="BF113" s="55">
        <v>0.94499999999999995</v>
      </c>
      <c r="BG113" s="55">
        <v>6.4000000000000001E-2</v>
      </c>
      <c r="BH113" s="21">
        <f t="shared" si="137"/>
        <v>3.024E-2</v>
      </c>
      <c r="BI113" s="55"/>
      <c r="BJ113" s="55"/>
      <c r="BK113" s="21">
        <f t="shared" si="138"/>
        <v>0</v>
      </c>
      <c r="BL113" s="55"/>
      <c r="BM113" s="55"/>
      <c r="BN113" s="21">
        <f t="shared" si="139"/>
        <v>0</v>
      </c>
      <c r="BO113" s="55"/>
      <c r="BP113" s="55"/>
      <c r="BQ113" s="21">
        <f t="shared" si="140"/>
        <v>0</v>
      </c>
      <c r="BR113" s="55"/>
      <c r="BS113" s="21">
        <f t="shared" si="141"/>
        <v>16.154107333333332</v>
      </c>
      <c r="BT113" s="56">
        <v>6.0250000000000004</v>
      </c>
      <c r="BU113" s="56">
        <v>2.0310000000000001</v>
      </c>
      <c r="BV113" s="21">
        <f t="shared" si="168"/>
        <v>6.1183875000000008</v>
      </c>
      <c r="BW113" s="77">
        <f t="shared" si="121"/>
        <v>6.0250000000000004</v>
      </c>
      <c r="BX113" s="55"/>
      <c r="BY113" s="21">
        <f t="shared" si="169"/>
        <v>0</v>
      </c>
      <c r="BZ113" s="55">
        <v>5.5570000000000004</v>
      </c>
      <c r="CA113" s="55">
        <v>-0.114</v>
      </c>
      <c r="CB113" s="21">
        <f t="shared" si="170"/>
        <v>-0.4223320000000001</v>
      </c>
      <c r="CC113" s="55">
        <v>2.1949999999999998</v>
      </c>
      <c r="CD113" s="55">
        <v>6.6000000000000003E-2</v>
      </c>
      <c r="CE113" s="21">
        <f t="shared" si="171"/>
        <v>9.6579999999999999E-2</v>
      </c>
      <c r="CF113" s="21"/>
      <c r="CG113" s="21"/>
      <c r="CH113" s="21">
        <f t="shared" si="122"/>
        <v>0</v>
      </c>
      <c r="CI113" s="25">
        <f t="shared" si="123"/>
        <v>5.7926355000000012</v>
      </c>
      <c r="CJ113" s="54">
        <v>0.32</v>
      </c>
      <c r="CK113" s="21">
        <f t="shared" si="161"/>
        <v>1.44</v>
      </c>
      <c r="CL113" s="55">
        <v>382</v>
      </c>
      <c r="CM113" s="55"/>
      <c r="CN113" s="60"/>
      <c r="CO113" s="55" t="s">
        <v>162</v>
      </c>
      <c r="CP113" s="55"/>
      <c r="CQ113" s="55"/>
      <c r="CR113" s="55"/>
      <c r="CS113" s="55"/>
      <c r="CT113" s="55"/>
      <c r="CU113" s="55"/>
      <c r="CV113" s="55"/>
      <c r="CW113" s="55"/>
      <c r="CX113" s="55"/>
      <c r="CY113" s="21">
        <f t="shared" si="162"/>
        <v>0</v>
      </c>
      <c r="CZ113" s="56"/>
      <c r="DA113" s="56"/>
      <c r="DB113" s="56"/>
      <c r="DC113" s="56"/>
      <c r="DD113" s="61">
        <f t="shared" si="125"/>
        <v>0</v>
      </c>
      <c r="DE113" s="21">
        <f t="shared" si="126"/>
        <v>21</v>
      </c>
      <c r="DF113" s="55"/>
      <c r="DG113" s="55"/>
      <c r="DH113" s="55"/>
      <c r="DI113" s="55">
        <v>21</v>
      </c>
      <c r="DJ113" s="104"/>
      <c r="DK113" s="53"/>
      <c r="DM113" s="58">
        <f t="shared" si="108"/>
        <v>938.97899896102399</v>
      </c>
      <c r="DN113" s="58">
        <f t="shared" si="163"/>
        <v>727.06</v>
      </c>
      <c r="DO113" s="21">
        <f t="shared" si="164"/>
        <v>0.77430911746108122</v>
      </c>
      <c r="DP113" s="62">
        <f t="shared" si="165"/>
        <v>1.0285358148761614</v>
      </c>
      <c r="DQ113" s="7" t="s">
        <v>130</v>
      </c>
      <c r="DR113" s="107">
        <f t="shared" si="111"/>
        <v>0</v>
      </c>
    </row>
    <row r="114" spans="1:122" ht="12.95" customHeight="1" x14ac:dyDescent="0.2">
      <c r="A114" s="53" t="s">
        <v>276</v>
      </c>
      <c r="B114" s="54">
        <v>2</v>
      </c>
      <c r="C114" s="92">
        <f t="shared" si="166"/>
        <v>105.53889161890746</v>
      </c>
      <c r="D114" s="92">
        <f t="shared" si="167"/>
        <v>100.93778717314017</v>
      </c>
      <c r="E114" s="92">
        <f>VLOOKUP(A114,[3]TRTOTAL!$A$7:$D$313,3,FALSE)</f>
        <v>105.53889161890746</v>
      </c>
      <c r="F114" s="92">
        <f>VLOOKUP(A114,[3]TRTOTAL!$A$7:$D$313,4,FALSE)</f>
        <v>100.93778717314017</v>
      </c>
      <c r="G114" s="92">
        <f t="shared" si="112"/>
        <v>0</v>
      </c>
      <c r="H114" s="92">
        <f t="shared" si="113"/>
        <v>0</v>
      </c>
      <c r="I114" s="54">
        <v>5.9</v>
      </c>
      <c r="J114" s="56">
        <v>5.7530000000000001</v>
      </c>
      <c r="K114" s="54">
        <v>2.44</v>
      </c>
      <c r="L114" s="57">
        <v>2</v>
      </c>
      <c r="M114" s="57"/>
      <c r="N114" s="57">
        <v>184</v>
      </c>
      <c r="O114" s="87"/>
      <c r="P114" s="24">
        <f t="shared" si="152"/>
        <v>17.594107333333334</v>
      </c>
      <c r="Q114" s="24">
        <f t="shared" si="149"/>
        <v>8.4649999999999999</v>
      </c>
      <c r="R114" s="24">
        <f t="shared" si="153"/>
        <v>5.0132866666666676</v>
      </c>
      <c r="S114" s="87">
        <v>9</v>
      </c>
      <c r="T114" s="21">
        <f t="shared" si="154"/>
        <v>5.4707999999999997</v>
      </c>
      <c r="U114" s="21"/>
      <c r="V114" s="24">
        <f t="shared" si="155"/>
        <v>2.508</v>
      </c>
      <c r="W114" s="24">
        <f t="shared" si="156"/>
        <v>2.6680000000000001</v>
      </c>
      <c r="X114" s="24">
        <f t="shared" si="157"/>
        <v>2.4716990267984449</v>
      </c>
      <c r="Y114" s="25">
        <f t="shared" si="128"/>
        <v>1</v>
      </c>
      <c r="Z114" s="24">
        <f t="shared" si="119"/>
        <v>15.464672090161457</v>
      </c>
      <c r="AA114" s="21">
        <f t="shared" si="158"/>
        <v>1.4648025322619918</v>
      </c>
      <c r="AB114" s="24">
        <f t="shared" si="120"/>
        <v>4.0475177308965007</v>
      </c>
      <c r="AC114" s="24">
        <f t="shared" si="142"/>
        <v>22.136012516041415</v>
      </c>
      <c r="AD114" s="58">
        <f t="shared" si="159"/>
        <v>328</v>
      </c>
      <c r="AE114" s="58">
        <f t="shared" si="160"/>
        <v>334</v>
      </c>
      <c r="AF114" s="21">
        <f t="shared" si="94"/>
        <v>3.15</v>
      </c>
      <c r="AG114" s="77">
        <f t="shared" si="95"/>
        <v>0</v>
      </c>
      <c r="AH114" s="114">
        <f t="shared" si="129"/>
        <v>1</v>
      </c>
      <c r="AI114" s="59">
        <f t="shared" si="96"/>
        <v>103.00787825902817</v>
      </c>
      <c r="AJ114" s="59">
        <f t="shared" si="97"/>
        <v>98.517116613377524</v>
      </c>
      <c r="AK114" s="55">
        <v>8.2959999999999994</v>
      </c>
      <c r="AL114" s="55">
        <v>2.508</v>
      </c>
      <c r="AM114" s="21">
        <f t="shared" si="130"/>
        <v>10.403184</v>
      </c>
      <c r="AN114" s="54">
        <v>8.4649999999999999</v>
      </c>
      <c r="AO114" s="55">
        <v>0.13400000000000001</v>
      </c>
      <c r="AP114" s="21">
        <f t="shared" si="131"/>
        <v>0.7562066666666668</v>
      </c>
      <c r="AQ114" s="55"/>
      <c r="AR114" s="55"/>
      <c r="AS114" s="21">
        <f t="shared" si="132"/>
        <v>0</v>
      </c>
      <c r="AT114" s="54">
        <v>8.2959999999999994</v>
      </c>
      <c r="AU114" s="54">
        <v>0.72899999999999998</v>
      </c>
      <c r="AV114" s="21">
        <f t="shared" si="172"/>
        <v>3.0238919999999996</v>
      </c>
      <c r="AW114" s="54">
        <v>1.6319999999999999</v>
      </c>
      <c r="AX114" s="54">
        <v>0.108</v>
      </c>
      <c r="AY114" s="21">
        <f t="shared" si="134"/>
        <v>8.8127999999999998E-2</v>
      </c>
      <c r="AZ114" s="54">
        <v>6.8949999999999996</v>
      </c>
      <c r="BA114" s="54">
        <v>0.40300000000000002</v>
      </c>
      <c r="BB114" s="21">
        <f t="shared" si="135"/>
        <v>1.8524566666666666</v>
      </c>
      <c r="BC114" s="54"/>
      <c r="BD114" s="54"/>
      <c r="BE114" s="21">
        <f t="shared" si="136"/>
        <v>0</v>
      </c>
      <c r="BF114" s="55">
        <v>0.94499999999999995</v>
      </c>
      <c r="BG114" s="55">
        <v>6.4000000000000001E-2</v>
      </c>
      <c r="BH114" s="21">
        <f t="shared" si="137"/>
        <v>3.024E-2</v>
      </c>
      <c r="BI114" s="55"/>
      <c r="BJ114" s="55"/>
      <c r="BK114" s="21">
        <f t="shared" si="138"/>
        <v>0</v>
      </c>
      <c r="BL114" s="55"/>
      <c r="BM114" s="55"/>
      <c r="BN114" s="21">
        <f t="shared" si="139"/>
        <v>0</v>
      </c>
      <c r="BO114" s="55"/>
      <c r="BP114" s="55"/>
      <c r="BQ114" s="21">
        <f t="shared" si="140"/>
        <v>0</v>
      </c>
      <c r="BR114" s="55"/>
      <c r="BS114" s="21">
        <f t="shared" si="141"/>
        <v>16.154107333333332</v>
      </c>
      <c r="BT114" s="56">
        <v>5.82</v>
      </c>
      <c r="BU114" s="56">
        <v>1.85</v>
      </c>
      <c r="BV114" s="21">
        <f t="shared" si="168"/>
        <v>5.3835000000000006</v>
      </c>
      <c r="BW114" s="77">
        <f t="shared" si="121"/>
        <v>5.82</v>
      </c>
      <c r="BX114" s="55"/>
      <c r="BY114" s="21">
        <f t="shared" si="169"/>
        <v>0</v>
      </c>
      <c r="BZ114" s="55">
        <v>5.4349999999999996</v>
      </c>
      <c r="CA114" s="55">
        <v>-0.124</v>
      </c>
      <c r="CB114" s="21">
        <f t="shared" si="170"/>
        <v>-0.44929333333333332</v>
      </c>
      <c r="CC114" s="54">
        <v>1.9770000000000001</v>
      </c>
      <c r="CD114" s="54">
        <v>0.06</v>
      </c>
      <c r="CE114" s="21">
        <f t="shared" si="171"/>
        <v>7.9079999999999998E-2</v>
      </c>
      <c r="CF114" s="21"/>
      <c r="CG114" s="21"/>
      <c r="CH114" s="21">
        <f t="shared" si="122"/>
        <v>0</v>
      </c>
      <c r="CI114" s="25">
        <f t="shared" si="123"/>
        <v>5.0132866666666676</v>
      </c>
      <c r="CJ114" s="54">
        <v>0.32</v>
      </c>
      <c r="CK114" s="21">
        <f t="shared" si="161"/>
        <v>1.44</v>
      </c>
      <c r="CL114" s="55">
        <v>382</v>
      </c>
      <c r="CM114" s="55"/>
      <c r="CN114" s="60"/>
      <c r="CO114" s="55" t="s">
        <v>162</v>
      </c>
      <c r="CP114" s="55"/>
      <c r="CQ114" s="55"/>
      <c r="CR114" s="55"/>
      <c r="CS114" s="55"/>
      <c r="CT114" s="55"/>
      <c r="CU114" s="55"/>
      <c r="CV114" s="55"/>
      <c r="CW114" s="55"/>
      <c r="CX114" s="55"/>
      <c r="CY114" s="21">
        <f t="shared" si="162"/>
        <v>0</v>
      </c>
      <c r="CZ114" s="56"/>
      <c r="DA114" s="56"/>
      <c r="DB114" s="56"/>
      <c r="DC114" s="56"/>
      <c r="DD114" s="61">
        <f t="shared" si="125"/>
        <v>0</v>
      </c>
      <c r="DE114" s="21">
        <f t="shared" si="126"/>
        <v>21</v>
      </c>
      <c r="DF114" s="55"/>
      <c r="DG114" s="55"/>
      <c r="DH114" s="55"/>
      <c r="DI114" s="55">
        <v>21</v>
      </c>
      <c r="DJ114" s="104"/>
      <c r="DK114" s="53"/>
      <c r="DM114" s="58">
        <f t="shared" si="108"/>
        <v>914.18884615158038</v>
      </c>
      <c r="DN114" s="58">
        <f t="shared" si="163"/>
        <v>733.16</v>
      </c>
      <c r="DO114" s="21">
        <f t="shared" si="164"/>
        <v>0.80197871926172648</v>
      </c>
      <c r="DP114" s="62">
        <f t="shared" si="165"/>
        <v>1.0245710658510476</v>
      </c>
      <c r="DQ114" s="7" t="s">
        <v>130</v>
      </c>
      <c r="DR114" s="107">
        <f t="shared" si="111"/>
        <v>0</v>
      </c>
    </row>
    <row r="115" spans="1:122" ht="12.75" customHeight="1" x14ac:dyDescent="0.2">
      <c r="A115" s="53" t="s">
        <v>277</v>
      </c>
      <c r="B115" s="54">
        <v>2</v>
      </c>
      <c r="C115" s="92">
        <f t="shared" si="166"/>
        <v>105.71801988477431</v>
      </c>
      <c r="D115" s="92">
        <f t="shared" si="167"/>
        <v>100.96586209229388</v>
      </c>
      <c r="E115" s="92">
        <f>VLOOKUP(A115,[3]TRTOTAL!$A$7:$D$313,3,FALSE)</f>
        <v>105.71801988477431</v>
      </c>
      <c r="F115" s="92">
        <f>VLOOKUP(A115,[3]TRTOTAL!$A$7:$D$313,4,FALSE)</f>
        <v>100.96586209229388</v>
      </c>
      <c r="G115" s="92">
        <f t="shared" si="112"/>
        <v>0</v>
      </c>
      <c r="H115" s="92">
        <f t="shared" si="113"/>
        <v>0</v>
      </c>
      <c r="I115" s="54">
        <v>5.9</v>
      </c>
      <c r="J115" s="56">
        <v>5.7530000000000001</v>
      </c>
      <c r="K115" s="54">
        <v>2.44</v>
      </c>
      <c r="L115" s="57">
        <v>2</v>
      </c>
      <c r="M115" s="57"/>
      <c r="N115" s="57">
        <v>186</v>
      </c>
      <c r="O115" s="87"/>
      <c r="P115" s="24">
        <f t="shared" si="152"/>
        <v>16.92567</v>
      </c>
      <c r="Q115" s="24">
        <f t="shared" si="149"/>
        <v>8.43</v>
      </c>
      <c r="R115" s="24">
        <f t="shared" si="153"/>
        <v>4.4706166666666665</v>
      </c>
      <c r="S115" s="87">
        <v>9</v>
      </c>
      <c r="T115" s="21">
        <f t="shared" si="154"/>
        <v>5.141799999999999</v>
      </c>
      <c r="U115" s="21"/>
      <c r="V115" s="24">
        <f t="shared" si="155"/>
        <v>2.3079999999999998</v>
      </c>
      <c r="W115" s="24">
        <f t="shared" si="156"/>
        <v>2.468</v>
      </c>
      <c r="X115" s="24">
        <f t="shared" si="157"/>
        <v>2.7787889195642639</v>
      </c>
      <c r="Y115" s="25">
        <f t="shared" si="128"/>
        <v>1</v>
      </c>
      <c r="Z115" s="24">
        <f t="shared" si="119"/>
        <v>15.409102335058462</v>
      </c>
      <c r="AA115" s="21">
        <f t="shared" si="158"/>
        <v>1.7247084088834019</v>
      </c>
      <c r="AB115" s="24">
        <f t="shared" si="120"/>
        <v>3.7906582632464287</v>
      </c>
      <c r="AC115" s="24">
        <f t="shared" si="142"/>
        <v>21.856975024082857</v>
      </c>
      <c r="AD115" s="58">
        <f t="shared" si="159"/>
        <v>330</v>
      </c>
      <c r="AE115" s="58">
        <f t="shared" si="160"/>
        <v>336</v>
      </c>
      <c r="AF115" s="21">
        <f t="shared" si="94"/>
        <v>3.15</v>
      </c>
      <c r="AG115" s="77">
        <f t="shared" si="95"/>
        <v>0</v>
      </c>
      <c r="AH115" s="114">
        <f t="shared" si="129"/>
        <v>1</v>
      </c>
      <c r="AI115" s="59">
        <f t="shared" si="96"/>
        <v>103.8801462742191</v>
      </c>
      <c r="AJ115" s="59">
        <f t="shared" si="97"/>
        <v>99.210603209194915</v>
      </c>
      <c r="AK115" s="55">
        <v>8.43</v>
      </c>
      <c r="AL115" s="55">
        <v>2.3079999999999998</v>
      </c>
      <c r="AM115" s="21">
        <f t="shared" si="130"/>
        <v>9.7282199999999985</v>
      </c>
      <c r="AN115" s="54">
        <v>8.43</v>
      </c>
      <c r="AO115" s="55">
        <v>0.13</v>
      </c>
      <c r="AP115" s="21">
        <f t="shared" si="131"/>
        <v>0.73060000000000003</v>
      </c>
      <c r="AQ115" s="55">
        <v>2.34</v>
      </c>
      <c r="AR115" s="55"/>
      <c r="AS115" s="21">
        <f t="shared" si="132"/>
        <v>0</v>
      </c>
      <c r="AT115" s="54">
        <v>8.35</v>
      </c>
      <c r="AU115" s="54">
        <v>0.89400000000000002</v>
      </c>
      <c r="AV115" s="21">
        <f t="shared" si="172"/>
        <v>3.73245</v>
      </c>
      <c r="AW115" s="54"/>
      <c r="AX115" s="54"/>
      <c r="AY115" s="21">
        <f t="shared" si="134"/>
        <v>0</v>
      </c>
      <c r="AZ115" s="54">
        <v>8.09</v>
      </c>
      <c r="BA115" s="54">
        <v>0.24</v>
      </c>
      <c r="BB115" s="21">
        <f t="shared" si="135"/>
        <v>1.2944</v>
      </c>
      <c r="BC115" s="54"/>
      <c r="BD115" s="54"/>
      <c r="BE115" s="21">
        <f t="shared" si="136"/>
        <v>0</v>
      </c>
      <c r="BF115" s="55"/>
      <c r="BG115" s="55"/>
      <c r="BH115" s="21">
        <f t="shared" si="137"/>
        <v>0</v>
      </c>
      <c r="BI115" s="55"/>
      <c r="BJ115" s="55"/>
      <c r="BK115" s="21">
        <f t="shared" si="138"/>
        <v>0</v>
      </c>
      <c r="BL115" s="55"/>
      <c r="BM115" s="55"/>
      <c r="BN115" s="21">
        <f t="shared" si="139"/>
        <v>0</v>
      </c>
      <c r="BO115" s="55"/>
      <c r="BP115" s="55"/>
      <c r="BQ115" s="21">
        <f t="shared" si="140"/>
        <v>0</v>
      </c>
      <c r="BR115" s="55"/>
      <c r="BS115" s="21">
        <f t="shared" si="141"/>
        <v>15.485669999999999</v>
      </c>
      <c r="BT115" s="56">
        <v>5.47</v>
      </c>
      <c r="BU115" s="56">
        <v>1.61</v>
      </c>
      <c r="BV115" s="21">
        <f t="shared" si="168"/>
        <v>4.4033499999999997</v>
      </c>
      <c r="BW115" s="77">
        <f t="shared" si="121"/>
        <v>5.47</v>
      </c>
      <c r="BX115" s="55">
        <v>-0.03</v>
      </c>
      <c r="BY115" s="21">
        <f t="shared" si="169"/>
        <v>-0.1094</v>
      </c>
      <c r="BZ115" s="55">
        <v>5.3</v>
      </c>
      <c r="CA115" s="55">
        <v>0.05</v>
      </c>
      <c r="CB115" s="21">
        <f t="shared" si="170"/>
        <v>0.17666666666666667</v>
      </c>
      <c r="CC115" s="54">
        <v>1.66</v>
      </c>
      <c r="CD115" s="54">
        <v>0</v>
      </c>
      <c r="CE115" s="21">
        <f t="shared" si="171"/>
        <v>0</v>
      </c>
      <c r="CF115" s="21"/>
      <c r="CG115" s="21"/>
      <c r="CH115" s="21">
        <f t="shared" si="122"/>
        <v>0</v>
      </c>
      <c r="CI115" s="25">
        <f t="shared" si="123"/>
        <v>4.4706166666666665</v>
      </c>
      <c r="CJ115" s="54">
        <v>0.32</v>
      </c>
      <c r="CK115" s="21">
        <f t="shared" si="161"/>
        <v>1.44</v>
      </c>
      <c r="CL115" s="55">
        <v>382</v>
      </c>
      <c r="CM115" s="55" t="s">
        <v>278</v>
      </c>
      <c r="CN115" s="60">
        <v>39976</v>
      </c>
      <c r="CO115" s="55" t="s">
        <v>162</v>
      </c>
      <c r="CP115" s="55"/>
      <c r="CQ115" s="55"/>
      <c r="CR115" s="55"/>
      <c r="CS115" s="55"/>
      <c r="CT115" s="55"/>
      <c r="CU115" s="55"/>
      <c r="CV115" s="55"/>
      <c r="CW115" s="55"/>
      <c r="CX115" s="55"/>
      <c r="CY115" s="21">
        <f t="shared" si="162"/>
        <v>0</v>
      </c>
      <c r="CZ115" s="56"/>
      <c r="DA115" s="56"/>
      <c r="DB115" s="56"/>
      <c r="DC115" s="56"/>
      <c r="DD115" s="61">
        <f t="shared" si="125"/>
        <v>0</v>
      </c>
      <c r="DE115" s="21">
        <f t="shared" si="126"/>
        <v>21</v>
      </c>
      <c r="DF115" s="55"/>
      <c r="DG115" s="55"/>
      <c r="DH115" s="55"/>
      <c r="DI115" s="55">
        <v>21</v>
      </c>
      <c r="DJ115" s="104"/>
      <c r="DK115" s="53"/>
      <c r="DM115" s="58">
        <f t="shared" si="108"/>
        <v>862.74477045638662</v>
      </c>
      <c r="DN115" s="58">
        <f t="shared" si="163"/>
        <v>735.6</v>
      </c>
      <c r="DO115" s="21">
        <f t="shared" si="164"/>
        <v>0.85262759646850383</v>
      </c>
      <c r="DP115" s="62">
        <f t="shared" si="165"/>
        <v>1.0176922508917503</v>
      </c>
      <c r="DQ115" s="7" t="s">
        <v>130</v>
      </c>
      <c r="DR115" s="107">
        <f t="shared" si="111"/>
        <v>0</v>
      </c>
    </row>
    <row r="116" spans="1:122" ht="12.95" customHeight="1" x14ac:dyDescent="0.2">
      <c r="A116" s="53" t="s">
        <v>279</v>
      </c>
      <c r="B116" s="54">
        <v>2</v>
      </c>
      <c r="C116" s="92">
        <f t="shared" si="166"/>
        <v>117.23051997338187</v>
      </c>
      <c r="D116" s="92">
        <f t="shared" si="167"/>
        <v>112.40499809793074</v>
      </c>
      <c r="E116" s="92">
        <f>VLOOKUP(A116,[3]TRTOTAL!$A$7:$D$313,3,FALSE)</f>
        <v>117.23051997338187</v>
      </c>
      <c r="F116" s="92">
        <f>VLOOKUP(A116,[3]TRTOTAL!$A$7:$D$313,4,FALSE)</f>
        <v>112.40499809793074</v>
      </c>
      <c r="G116" s="92">
        <f t="shared" si="112"/>
        <v>0</v>
      </c>
      <c r="H116" s="92">
        <f t="shared" si="113"/>
        <v>0</v>
      </c>
      <c r="I116" s="54">
        <v>4.87</v>
      </c>
      <c r="J116" s="56">
        <v>4.87</v>
      </c>
      <c r="K116" s="54">
        <v>2.4</v>
      </c>
      <c r="L116" s="57">
        <v>2</v>
      </c>
      <c r="M116" s="57">
        <v>152</v>
      </c>
      <c r="N116" s="57"/>
      <c r="O116" s="87" t="s">
        <v>133</v>
      </c>
      <c r="P116" s="24">
        <f t="shared" si="152"/>
        <v>14.826843666666669</v>
      </c>
      <c r="Q116" s="24">
        <f t="shared" si="149"/>
        <v>7.9119999999999999</v>
      </c>
      <c r="R116" s="24">
        <f t="shared" si="153"/>
        <v>3.8917171666666674</v>
      </c>
      <c r="S116" s="87">
        <v>8.3000000000000007</v>
      </c>
      <c r="T116" s="21">
        <f t="shared" si="154"/>
        <v>4.8551000000000002</v>
      </c>
      <c r="U116" s="21"/>
      <c r="V116" s="24">
        <f t="shared" si="155"/>
        <v>2.1349999999999998</v>
      </c>
      <c r="W116" s="24">
        <f t="shared" si="156"/>
        <v>2.2849999999999997</v>
      </c>
      <c r="X116" s="24">
        <f t="shared" si="157"/>
        <v>2.8397250964412897</v>
      </c>
      <c r="Y116" s="25">
        <f t="shared" si="128"/>
        <v>1</v>
      </c>
      <c r="Z116" s="24">
        <f t="shared" si="119"/>
        <v>13.586462705254624</v>
      </c>
      <c r="AA116" s="21">
        <f t="shared" si="158"/>
        <v>1.3971035517321888</v>
      </c>
      <c r="AB116" s="24">
        <f t="shared" si="120"/>
        <v>3.0977213252774942</v>
      </c>
      <c r="AC116" s="24">
        <f t="shared" si="142"/>
        <v>18.831480258246046</v>
      </c>
      <c r="AD116" s="58">
        <f t="shared" si="159"/>
        <v>302</v>
      </c>
      <c r="AE116" s="58">
        <f t="shared" si="160"/>
        <v>308</v>
      </c>
      <c r="AF116" s="21">
        <f t="shared" si="94"/>
        <v>2.5499999999999998</v>
      </c>
      <c r="AG116" s="77">
        <f t="shared" si="95"/>
        <v>0</v>
      </c>
      <c r="AH116" s="114">
        <f t="shared" si="129"/>
        <v>1.04</v>
      </c>
      <c r="AI116" s="59">
        <f t="shared" si="96"/>
        <v>116.72317125737197</v>
      </c>
      <c r="AJ116" s="59">
        <f t="shared" si="97"/>
        <v>111.91853321258324</v>
      </c>
      <c r="AK116" s="55">
        <v>7.9119999999999999</v>
      </c>
      <c r="AL116" s="55">
        <v>2.1349999999999998</v>
      </c>
      <c r="AM116" s="21">
        <f t="shared" si="130"/>
        <v>8.4460599999999992</v>
      </c>
      <c r="AN116" s="54">
        <v>7.9119999999999999</v>
      </c>
      <c r="AO116" s="55">
        <v>0.14000000000000001</v>
      </c>
      <c r="AP116" s="21">
        <f t="shared" si="131"/>
        <v>0.73845333333333329</v>
      </c>
      <c r="AQ116" s="55"/>
      <c r="AR116" s="55"/>
      <c r="AS116" s="21">
        <f t="shared" si="132"/>
        <v>0</v>
      </c>
      <c r="AT116" s="54">
        <v>7.5449999999999999</v>
      </c>
      <c r="AU116" s="54">
        <v>0.86599999999999999</v>
      </c>
      <c r="AV116" s="21">
        <f t="shared" si="172"/>
        <v>3.266985</v>
      </c>
      <c r="AW116" s="54">
        <v>1.8919999999999999</v>
      </c>
      <c r="AX116" s="54">
        <v>0.192</v>
      </c>
      <c r="AY116" s="21">
        <f t="shared" si="134"/>
        <v>0.18163199999999999</v>
      </c>
      <c r="AZ116" s="54">
        <v>5.9269999999999996</v>
      </c>
      <c r="BA116" s="54">
        <v>0.20499999999999999</v>
      </c>
      <c r="BB116" s="21">
        <f t="shared" si="135"/>
        <v>0.81002333333333321</v>
      </c>
      <c r="BC116" s="54"/>
      <c r="BD116" s="54"/>
      <c r="BE116" s="21">
        <f t="shared" si="136"/>
        <v>0</v>
      </c>
      <c r="BF116" s="55">
        <v>1.0900000000000001</v>
      </c>
      <c r="BG116" s="55">
        <v>0.08</v>
      </c>
      <c r="BH116" s="21">
        <f t="shared" si="137"/>
        <v>4.3600000000000007E-2</v>
      </c>
      <c r="BI116" s="55">
        <v>1.4219999999999999</v>
      </c>
      <c r="BJ116" s="55">
        <v>-4.4999999999999998E-2</v>
      </c>
      <c r="BK116" s="21">
        <f t="shared" si="138"/>
        <v>-4.2659999999999997E-2</v>
      </c>
      <c r="BL116" s="55">
        <v>0.9</v>
      </c>
      <c r="BM116" s="55">
        <v>0.14499999999999999</v>
      </c>
      <c r="BN116" s="21">
        <f t="shared" si="139"/>
        <v>6.5250000000000002E-2</v>
      </c>
      <c r="BO116" s="55">
        <v>1</v>
      </c>
      <c r="BP116" s="55">
        <v>0.14499999999999999</v>
      </c>
      <c r="BQ116" s="21">
        <f t="shared" si="140"/>
        <v>7.2499999999999995E-2</v>
      </c>
      <c r="BR116" s="55"/>
      <c r="BS116" s="21">
        <f t="shared" si="141"/>
        <v>13.581843666666668</v>
      </c>
      <c r="BT116" s="56">
        <v>5.165</v>
      </c>
      <c r="BU116" s="56">
        <v>1.669</v>
      </c>
      <c r="BV116" s="21">
        <f t="shared" si="168"/>
        <v>4.3101925000000003</v>
      </c>
      <c r="BW116" s="77">
        <f t="shared" si="121"/>
        <v>5.165</v>
      </c>
      <c r="BX116" s="55">
        <v>2.5000000000000001E-2</v>
      </c>
      <c r="BY116" s="21">
        <f t="shared" si="169"/>
        <v>8.6083333333333345E-2</v>
      </c>
      <c r="BZ116" s="55">
        <v>4.9320000000000004</v>
      </c>
      <c r="CA116" s="55">
        <v>-0.17499999999999999</v>
      </c>
      <c r="CB116" s="21">
        <f t="shared" si="170"/>
        <v>-0.57540000000000002</v>
      </c>
      <c r="CC116" s="55">
        <v>1.742</v>
      </c>
      <c r="CD116" s="55">
        <v>6.0999999999999999E-2</v>
      </c>
      <c r="CE116" s="21">
        <f t="shared" si="171"/>
        <v>7.0841333333333326E-2</v>
      </c>
      <c r="CF116" s="21"/>
      <c r="CG116" s="21"/>
      <c r="CH116" s="21">
        <f t="shared" si="122"/>
        <v>0</v>
      </c>
      <c r="CI116" s="25">
        <f t="shared" si="123"/>
        <v>3.8917171666666674</v>
      </c>
      <c r="CJ116" s="54">
        <v>0.3</v>
      </c>
      <c r="CK116" s="21">
        <f t="shared" si="161"/>
        <v>1.2450000000000001</v>
      </c>
      <c r="CL116" s="55">
        <v>86</v>
      </c>
      <c r="CM116" s="55" t="s">
        <v>280</v>
      </c>
      <c r="CN116" s="60"/>
      <c r="CO116" s="55" t="s">
        <v>162</v>
      </c>
      <c r="CP116" s="55"/>
      <c r="CQ116" s="55"/>
      <c r="CR116" s="55"/>
      <c r="CS116" s="55"/>
      <c r="CT116" s="55"/>
      <c r="CU116" s="55"/>
      <c r="CV116" s="55"/>
      <c r="CW116" s="55"/>
      <c r="CX116" s="55"/>
      <c r="CY116" s="21">
        <f t="shared" si="162"/>
        <v>0</v>
      </c>
      <c r="CZ116" s="56"/>
      <c r="DA116" s="56"/>
      <c r="DB116" s="56"/>
      <c r="DC116" s="56"/>
      <c r="DD116" s="61">
        <f t="shared" si="125"/>
        <v>0</v>
      </c>
      <c r="DE116" s="21">
        <f t="shared" si="126"/>
        <v>0</v>
      </c>
      <c r="DF116" s="55"/>
      <c r="DG116" s="55"/>
      <c r="DH116" s="55"/>
      <c r="DI116" s="55"/>
      <c r="DJ116" s="104"/>
      <c r="DK116" s="53"/>
      <c r="DM116" s="58">
        <f t="shared" si="108"/>
        <v>720.24592973201959</v>
      </c>
      <c r="DN116" s="58">
        <f t="shared" si="163"/>
        <v>692.4</v>
      </c>
      <c r="DO116" s="21">
        <f t="shared" si="164"/>
        <v>0.96133830323431302</v>
      </c>
      <c r="DP116" s="62">
        <f t="shared" si="165"/>
        <v>1.0043465981136788</v>
      </c>
      <c r="DQ116" s="7" t="s">
        <v>130</v>
      </c>
      <c r="DR116" s="107">
        <f t="shared" si="111"/>
        <v>0</v>
      </c>
    </row>
    <row r="117" spans="1:122" ht="12.75" customHeight="1" x14ac:dyDescent="0.2">
      <c r="A117" s="53" t="s">
        <v>281</v>
      </c>
      <c r="B117" s="54">
        <v>2</v>
      </c>
      <c r="C117" s="92">
        <f t="shared" si="166"/>
        <v>123.2838806163234</v>
      </c>
      <c r="D117" s="92">
        <f t="shared" si="167"/>
        <v>115.13422506381015</v>
      </c>
      <c r="E117" s="92">
        <f>VLOOKUP(A117,[3]TRTOTAL!$A$7:$D$313,3,FALSE)</f>
        <v>123.2838806163234</v>
      </c>
      <c r="F117" s="92">
        <f>VLOOKUP(A117,[3]TRTOTAL!$A$7:$D$313,4,FALSE)</f>
        <v>115.13422506381015</v>
      </c>
      <c r="G117" s="92">
        <f t="shared" si="112"/>
        <v>0</v>
      </c>
      <c r="H117" s="92">
        <f t="shared" si="113"/>
        <v>0</v>
      </c>
      <c r="I117" s="54">
        <v>4.99</v>
      </c>
      <c r="J117" s="56">
        <v>4.8</v>
      </c>
      <c r="K117" s="54">
        <v>2.35</v>
      </c>
      <c r="L117" s="57">
        <v>2</v>
      </c>
      <c r="M117" s="57">
        <v>150</v>
      </c>
      <c r="N117" s="57"/>
      <c r="O117" s="87"/>
      <c r="P117" s="24">
        <f t="shared" si="152"/>
        <v>12</v>
      </c>
      <c r="Q117" s="24">
        <f t="shared" si="149"/>
        <v>7.46</v>
      </c>
      <c r="R117" s="24">
        <f t="shared" si="153"/>
        <v>3.6</v>
      </c>
      <c r="S117" s="87">
        <v>7.9</v>
      </c>
      <c r="T117" s="21">
        <f t="shared" si="154"/>
        <v>4.7</v>
      </c>
      <c r="U117" s="21"/>
      <c r="V117" s="24">
        <f t="shared" si="155"/>
        <v>2.238</v>
      </c>
      <c r="W117" s="24">
        <f t="shared" si="156"/>
        <v>2.3980000000000001</v>
      </c>
      <c r="X117" s="24">
        <f t="shared" si="157"/>
        <v>2.0868099006608927</v>
      </c>
      <c r="Y117" s="25">
        <f t="shared" si="128"/>
        <v>1</v>
      </c>
      <c r="Z117" s="24">
        <f t="shared" si="119"/>
        <v>10.025381668753978</v>
      </c>
      <c r="AA117" s="21">
        <f t="shared" si="158"/>
        <v>0</v>
      </c>
      <c r="AB117" s="24">
        <f t="shared" si="120"/>
        <v>3.24</v>
      </c>
      <c r="AC117" s="24">
        <f t="shared" si="142"/>
        <v>15.994181668753978</v>
      </c>
      <c r="AD117" s="58">
        <f t="shared" si="159"/>
        <v>300</v>
      </c>
      <c r="AE117" s="58">
        <f t="shared" si="160"/>
        <v>306</v>
      </c>
      <c r="AF117" s="21">
        <f t="shared" si="94"/>
        <v>3.15</v>
      </c>
      <c r="AG117" s="77">
        <f t="shared" si="95"/>
        <v>0</v>
      </c>
      <c r="AH117" s="114">
        <f t="shared" si="129"/>
        <v>1</v>
      </c>
      <c r="AI117" s="59">
        <f t="shared" si="96"/>
        <v>123.2838806163234</v>
      </c>
      <c r="AJ117" s="59">
        <f t="shared" si="97"/>
        <v>115.13422506381015</v>
      </c>
      <c r="AK117" s="55"/>
      <c r="AL117" s="55"/>
      <c r="AM117" s="21">
        <f t="shared" si="130"/>
        <v>0</v>
      </c>
      <c r="AN117" s="54">
        <v>7.46</v>
      </c>
      <c r="AO117" s="55"/>
      <c r="AP117" s="21">
        <f t="shared" si="131"/>
        <v>0</v>
      </c>
      <c r="AQ117" s="55"/>
      <c r="AR117" s="55"/>
      <c r="AS117" s="21">
        <f t="shared" si="132"/>
        <v>0</v>
      </c>
      <c r="AT117" s="54"/>
      <c r="AU117" s="54"/>
      <c r="AV117" s="21">
        <f t="shared" si="172"/>
        <v>0</v>
      </c>
      <c r="AW117" s="54"/>
      <c r="AX117" s="54"/>
      <c r="AY117" s="21">
        <f t="shared" si="134"/>
        <v>0</v>
      </c>
      <c r="AZ117" s="54"/>
      <c r="BA117" s="54"/>
      <c r="BB117" s="21">
        <f t="shared" si="135"/>
        <v>0</v>
      </c>
      <c r="BC117" s="54"/>
      <c r="BD117" s="54"/>
      <c r="BE117" s="21">
        <f t="shared" si="136"/>
        <v>0</v>
      </c>
      <c r="BF117" s="55"/>
      <c r="BG117" s="55"/>
      <c r="BH117" s="21">
        <f t="shared" si="137"/>
        <v>0</v>
      </c>
      <c r="BI117" s="55"/>
      <c r="BJ117" s="55"/>
      <c r="BK117" s="21">
        <f t="shared" si="138"/>
        <v>0</v>
      </c>
      <c r="BL117" s="55"/>
      <c r="BM117" s="55"/>
      <c r="BN117" s="21">
        <f t="shared" si="139"/>
        <v>0</v>
      </c>
      <c r="BO117" s="55"/>
      <c r="BP117" s="55"/>
      <c r="BQ117" s="21">
        <f t="shared" si="140"/>
        <v>0</v>
      </c>
      <c r="BR117" s="55"/>
      <c r="BS117" s="21">
        <f t="shared" si="141"/>
        <v>0</v>
      </c>
      <c r="BT117" s="56">
        <v>0</v>
      </c>
      <c r="BU117" s="56"/>
      <c r="BV117" s="21">
        <f t="shared" si="168"/>
        <v>0</v>
      </c>
      <c r="BW117" s="77">
        <f t="shared" si="121"/>
        <v>0</v>
      </c>
      <c r="BX117" s="55"/>
      <c r="BY117" s="21">
        <f t="shared" si="169"/>
        <v>0</v>
      </c>
      <c r="BZ117" s="55"/>
      <c r="CA117" s="55"/>
      <c r="CB117" s="21">
        <f t="shared" si="170"/>
        <v>0</v>
      </c>
      <c r="CC117" s="54"/>
      <c r="CD117" s="54"/>
      <c r="CE117" s="21">
        <f t="shared" si="171"/>
        <v>0</v>
      </c>
      <c r="CF117" s="21"/>
      <c r="CG117" s="21"/>
      <c r="CH117" s="21">
        <f t="shared" si="122"/>
        <v>0</v>
      </c>
      <c r="CI117" s="25">
        <f t="shared" si="123"/>
        <v>3.6</v>
      </c>
      <c r="CJ117" s="54"/>
      <c r="CK117" s="21">
        <f t="shared" si="161"/>
        <v>0</v>
      </c>
      <c r="CL117" s="55"/>
      <c r="CM117" s="55"/>
      <c r="CN117" s="60"/>
      <c r="CO117" s="55"/>
      <c r="CP117" s="55"/>
      <c r="CQ117" s="55"/>
      <c r="CR117" s="55"/>
      <c r="CS117" s="55"/>
      <c r="CT117" s="55"/>
      <c r="CU117" s="55"/>
      <c r="CV117" s="55"/>
      <c r="CW117" s="55"/>
      <c r="CX117" s="55"/>
      <c r="CY117" s="21">
        <f t="shared" si="162"/>
        <v>0</v>
      </c>
      <c r="CZ117" s="56"/>
      <c r="DA117" s="56"/>
      <c r="DB117" s="56"/>
      <c r="DC117" s="56"/>
      <c r="DD117" s="61">
        <f t="shared" si="125"/>
        <v>0</v>
      </c>
      <c r="DE117" s="21">
        <f t="shared" si="126"/>
        <v>0</v>
      </c>
      <c r="DF117" s="55">
        <v>12</v>
      </c>
      <c r="DG117" s="55">
        <v>3.6</v>
      </c>
      <c r="DH117" s="55">
        <v>4.7</v>
      </c>
      <c r="DI117" s="55"/>
      <c r="DJ117" s="104"/>
      <c r="DK117" s="53"/>
      <c r="DM117" s="58">
        <f t="shared" si="108"/>
        <v>570.40171776</v>
      </c>
      <c r="DN117" s="58">
        <f t="shared" si="163"/>
        <v>678.75</v>
      </c>
      <c r="DO117" s="21">
        <f t="shared" si="164"/>
        <v>1.189950834414542</v>
      </c>
      <c r="DP117" s="62">
        <f t="shared" si="165"/>
        <v>1</v>
      </c>
      <c r="DQ117" s="7">
        <v>0</v>
      </c>
      <c r="DR117" s="107">
        <f t="shared" si="111"/>
        <v>0</v>
      </c>
    </row>
    <row r="118" spans="1:122" ht="12.75" customHeight="1" x14ac:dyDescent="0.2">
      <c r="A118" s="53" t="s">
        <v>282</v>
      </c>
      <c r="B118" s="54">
        <v>2</v>
      </c>
      <c r="C118" s="92">
        <f t="shared" si="166"/>
        <v>107.36826054082906</v>
      </c>
      <c r="D118" s="92">
        <f t="shared" si="167"/>
        <v>102.65841626808862</v>
      </c>
      <c r="E118" s="92">
        <f>VLOOKUP(A118,[3]TRTOTAL!$A$7:$D$313,3,FALSE)</f>
        <v>107.36826054082906</v>
      </c>
      <c r="F118" s="92">
        <f>VLOOKUP(A118,[3]TRTOTAL!$A$7:$D$313,4,FALSE)</f>
        <v>102.65841626808862</v>
      </c>
      <c r="G118" s="92">
        <f t="shared" si="112"/>
        <v>0</v>
      </c>
      <c r="H118" s="92">
        <f t="shared" si="113"/>
        <v>0</v>
      </c>
      <c r="I118" s="54">
        <v>5.68</v>
      </c>
      <c r="J118" s="56">
        <v>5.58</v>
      </c>
      <c r="K118" s="54">
        <v>2.5</v>
      </c>
      <c r="L118" s="57">
        <v>2</v>
      </c>
      <c r="M118" s="57">
        <v>190</v>
      </c>
      <c r="N118" s="57"/>
      <c r="O118" s="87"/>
      <c r="P118" s="24">
        <f t="shared" si="152"/>
        <v>16.835718166666666</v>
      </c>
      <c r="Q118" s="24">
        <f t="shared" si="149"/>
        <v>8.5449999999999999</v>
      </c>
      <c r="R118" s="24">
        <f t="shared" si="153"/>
        <v>5.2220693333333337</v>
      </c>
      <c r="S118" s="87">
        <v>9</v>
      </c>
      <c r="T118" s="21">
        <f t="shared" si="154"/>
        <v>5.5826599999999997</v>
      </c>
      <c r="U118" s="21"/>
      <c r="V118" s="24">
        <f t="shared" si="155"/>
        <v>2.3340000000000001</v>
      </c>
      <c r="W118" s="24">
        <f t="shared" si="156"/>
        <v>2.5</v>
      </c>
      <c r="X118" s="24">
        <f t="shared" si="157"/>
        <v>2.6937149066666666</v>
      </c>
      <c r="Y118" s="25">
        <f t="shared" si="128"/>
        <v>1</v>
      </c>
      <c r="Z118" s="24">
        <f t="shared" si="119"/>
        <v>15.184900081210149</v>
      </c>
      <c r="AA118" s="21">
        <f t="shared" si="158"/>
        <v>1.4165769675925928</v>
      </c>
      <c r="AB118" s="24">
        <f t="shared" si="120"/>
        <v>4.1739494293892649</v>
      </c>
      <c r="AC118" s="24">
        <f t="shared" si="142"/>
        <v>21.966236084778807</v>
      </c>
      <c r="AD118" s="58">
        <f t="shared" si="159"/>
        <v>340</v>
      </c>
      <c r="AE118" s="58">
        <f t="shared" si="160"/>
        <v>346</v>
      </c>
      <c r="AF118" s="21">
        <f t="shared" si="94"/>
        <v>3.15</v>
      </c>
      <c r="AG118" s="77">
        <f t="shared" si="95"/>
        <v>0</v>
      </c>
      <c r="AH118" s="114">
        <f t="shared" si="129"/>
        <v>1</v>
      </c>
      <c r="AI118" s="59">
        <f t="shared" si="96"/>
        <v>105.50929727127982</v>
      </c>
      <c r="AJ118" s="59">
        <f t="shared" si="97"/>
        <v>100.88099876880909</v>
      </c>
      <c r="AK118" s="55">
        <v>8.5449999999999999</v>
      </c>
      <c r="AL118" s="55">
        <v>2.3340000000000001</v>
      </c>
      <c r="AM118" s="21">
        <f t="shared" si="130"/>
        <v>9.9720150000000007</v>
      </c>
      <c r="AN118" s="54">
        <v>8.5449999999999999</v>
      </c>
      <c r="AO118" s="55">
        <v>8.1000000000000003E-2</v>
      </c>
      <c r="AP118" s="21">
        <f t="shared" si="131"/>
        <v>0.46143000000000001</v>
      </c>
      <c r="AQ118" s="55"/>
      <c r="AR118" s="55"/>
      <c r="AS118" s="21">
        <f t="shared" si="132"/>
        <v>0</v>
      </c>
      <c r="AT118" s="54">
        <v>8.5850000000000009</v>
      </c>
      <c r="AU118" s="54">
        <v>0.755</v>
      </c>
      <c r="AV118" s="21">
        <f t="shared" si="172"/>
        <v>3.2408375000000005</v>
      </c>
      <c r="AW118" s="54">
        <v>1.68</v>
      </c>
      <c r="AX118" s="54">
        <v>0.14099999999999999</v>
      </c>
      <c r="AY118" s="21">
        <f t="shared" si="134"/>
        <v>0.11843999999999999</v>
      </c>
      <c r="AZ118" s="54">
        <v>7.12</v>
      </c>
      <c r="BA118" s="54">
        <v>0.31900000000000001</v>
      </c>
      <c r="BB118" s="21">
        <f t="shared" si="135"/>
        <v>1.5141866666666666</v>
      </c>
      <c r="BC118" s="54"/>
      <c r="BD118" s="54"/>
      <c r="BE118" s="21">
        <f t="shared" si="136"/>
        <v>0</v>
      </c>
      <c r="BF118" s="55">
        <v>0.84899999999999998</v>
      </c>
      <c r="BG118" s="55">
        <v>8.2000000000000003E-2</v>
      </c>
      <c r="BH118" s="21">
        <f t="shared" si="137"/>
        <v>3.4809E-2</v>
      </c>
      <c r="BI118" s="55"/>
      <c r="BJ118" s="55"/>
      <c r="BK118" s="21">
        <f t="shared" si="138"/>
        <v>0</v>
      </c>
      <c r="BL118" s="55"/>
      <c r="BM118" s="55"/>
      <c r="BN118" s="21">
        <f t="shared" si="139"/>
        <v>0</v>
      </c>
      <c r="BO118" s="55"/>
      <c r="BP118" s="55"/>
      <c r="BQ118" s="21">
        <f t="shared" si="140"/>
        <v>0</v>
      </c>
      <c r="BR118" s="55"/>
      <c r="BS118" s="21">
        <f t="shared" si="141"/>
        <v>15.341718166666666</v>
      </c>
      <c r="BT118" s="56">
        <v>5.9390000000000001</v>
      </c>
      <c r="BU118" s="56">
        <v>1.92</v>
      </c>
      <c r="BV118" s="21">
        <f t="shared" si="168"/>
        <v>5.7014399999999998</v>
      </c>
      <c r="BW118" s="77">
        <f t="shared" si="121"/>
        <v>5.9390000000000001</v>
      </c>
      <c r="BX118" s="55">
        <v>-3.4000000000000002E-2</v>
      </c>
      <c r="BY118" s="21">
        <f t="shared" si="169"/>
        <v>-0.13461733333333334</v>
      </c>
      <c r="BZ118" s="55">
        <v>5.6849999999999996</v>
      </c>
      <c r="CA118" s="55">
        <v>-9.8000000000000004E-2</v>
      </c>
      <c r="CB118" s="21">
        <f t="shared" si="170"/>
        <v>-0.37142000000000003</v>
      </c>
      <c r="CC118" s="55">
        <v>2</v>
      </c>
      <c r="CD118" s="55">
        <v>0.02</v>
      </c>
      <c r="CE118" s="21">
        <f t="shared" si="171"/>
        <v>2.6666666666666668E-2</v>
      </c>
      <c r="CF118" s="21"/>
      <c r="CG118" s="21"/>
      <c r="CH118" s="21">
        <f t="shared" si="122"/>
        <v>0</v>
      </c>
      <c r="CI118" s="25">
        <f t="shared" si="123"/>
        <v>5.2220693333333337</v>
      </c>
      <c r="CJ118" s="54">
        <v>0.33200000000000002</v>
      </c>
      <c r="CK118" s="21">
        <f t="shared" si="161"/>
        <v>1.494</v>
      </c>
      <c r="CL118" s="55">
        <v>50</v>
      </c>
      <c r="CM118" s="55"/>
      <c r="CN118" s="60"/>
      <c r="CO118" s="55" t="s">
        <v>263</v>
      </c>
      <c r="CP118" s="55"/>
      <c r="CQ118" s="55"/>
      <c r="CR118" s="55"/>
      <c r="CS118" s="55"/>
      <c r="CT118" s="55"/>
      <c r="CU118" s="55"/>
      <c r="CV118" s="55"/>
      <c r="CW118" s="55"/>
      <c r="CX118" s="55"/>
      <c r="CY118" s="21">
        <f t="shared" si="162"/>
        <v>0</v>
      </c>
      <c r="CZ118" s="56"/>
      <c r="DA118" s="56"/>
      <c r="DB118" s="56"/>
      <c r="DC118" s="56"/>
      <c r="DD118" s="61">
        <f t="shared" si="125"/>
        <v>0</v>
      </c>
      <c r="DE118" s="21">
        <f t="shared" si="126"/>
        <v>0</v>
      </c>
      <c r="DF118" s="55"/>
      <c r="DG118" s="55"/>
      <c r="DH118" s="55"/>
      <c r="DI118" s="55"/>
      <c r="DJ118" s="104"/>
      <c r="DK118" s="53"/>
      <c r="DM118" s="58">
        <f t="shared" si="108"/>
        <v>893.7089166584434</v>
      </c>
      <c r="DN118" s="58">
        <f t="shared" si="163"/>
        <v>762.5</v>
      </c>
      <c r="DO118" s="21">
        <f t="shared" si="164"/>
        <v>0.85318607187110718</v>
      </c>
      <c r="DP118" s="62">
        <f t="shared" si="165"/>
        <v>1.0176189522404795</v>
      </c>
      <c r="DQ118" s="7">
        <v>0</v>
      </c>
      <c r="DR118" s="107">
        <f t="shared" si="111"/>
        <v>0</v>
      </c>
    </row>
    <row r="119" spans="1:122" ht="12.75" customHeight="1" x14ac:dyDescent="0.2">
      <c r="A119" s="53" t="s">
        <v>581</v>
      </c>
      <c r="B119" s="54">
        <v>1</v>
      </c>
      <c r="C119" s="92">
        <f>AI119*PowerFactor</f>
        <v>111.13237881393975</v>
      </c>
      <c r="D119" s="92">
        <f>AJ119*PowerFactor*IF(crew=1,1.01,1)</f>
        <v>105.87788996913039</v>
      </c>
      <c r="E119" s="92">
        <f>VLOOKUP(A119,[3]TRTOTAL!$A$7:$D$313,3,FALSE)</f>
        <v>111.1917698970435</v>
      </c>
      <c r="F119" s="92">
        <f>VLOOKUP(A119,[3]TRTOTAL!$A$7:$D$313,4,FALSE)</f>
        <v>105.93447296167599</v>
      </c>
      <c r="G119" s="92">
        <f t="shared" si="112"/>
        <v>-5.9391083103747633E-2</v>
      </c>
      <c r="H119" s="92">
        <f t="shared" si="113"/>
        <v>-5.6582992545600064E-2</v>
      </c>
      <c r="I119" s="54">
        <v>4.6399999999999997</v>
      </c>
      <c r="J119" s="56">
        <v>4.6399999999999997</v>
      </c>
      <c r="K119" s="54">
        <v>2.5</v>
      </c>
      <c r="L119" s="57">
        <v>1</v>
      </c>
      <c r="M119" s="57">
        <v>108</v>
      </c>
      <c r="N119" s="57"/>
      <c r="O119" s="87" t="s">
        <v>595</v>
      </c>
      <c r="P119" s="24">
        <f t="shared" si="152"/>
        <v>13.037000000000001</v>
      </c>
      <c r="Q119" s="24">
        <f t="shared" si="149"/>
        <v>7.4470000000000001</v>
      </c>
      <c r="R119" s="24">
        <f>CI119</f>
        <v>0</v>
      </c>
      <c r="S119" s="87">
        <v>7.45</v>
      </c>
      <c r="T119" s="21">
        <f t="shared" si="154"/>
        <v>0</v>
      </c>
      <c r="U119" s="21"/>
      <c r="V119" s="24">
        <f>IF(e_sp,e_sp,(IF(mfoot,MAX(CU119:CX119),IF(mainh1,mainh1,vlm*0.3))))</f>
        <v>2.2340999999999998</v>
      </c>
      <c r="W119" s="24">
        <f>IF(circMast,circMast/2,0.16)+V119</f>
        <v>2.3940999999999999</v>
      </c>
      <c r="X119" s="24">
        <f t="shared" si="157"/>
        <v>2.2745374520823378</v>
      </c>
      <c r="Y119" s="25">
        <f t="shared" si="128"/>
        <v>1</v>
      </c>
      <c r="Z119" s="24">
        <f>0.67*X119^0.3*msam*Y119</f>
        <v>11.176875051557447</v>
      </c>
      <c r="AA119" s="21">
        <f t="shared" si="158"/>
        <v>0</v>
      </c>
      <c r="AB119" s="24">
        <f>IF(AA119,0.72*AA119^0.3*msag,IF(msag,0.9*msag,0))</f>
        <v>0</v>
      </c>
      <c r="AC119" s="24">
        <f t="shared" si="142"/>
        <v>13.276875051557447</v>
      </c>
      <c r="AD119" s="58">
        <f t="shared" si="159"/>
        <v>183</v>
      </c>
      <c r="AE119" s="58">
        <f t="shared" si="160"/>
        <v>189</v>
      </c>
      <c r="AF119" s="21">
        <f t="shared" si="94"/>
        <v>2.1</v>
      </c>
      <c r="AG119" s="77">
        <f t="shared" si="95"/>
        <v>0</v>
      </c>
      <c r="AH119" s="114">
        <f t="shared" si="129"/>
        <v>0.95</v>
      </c>
      <c r="AI119" s="59">
        <f t="shared" si="96"/>
        <v>107.90431611373891</v>
      </c>
      <c r="AJ119" s="59">
        <f t="shared" si="97"/>
        <v>101.78460834624218</v>
      </c>
      <c r="AK119" s="55"/>
      <c r="AL119" s="55"/>
      <c r="AM119" s="21">
        <f>AK119*AL119*0.5</f>
        <v>0</v>
      </c>
      <c r="AN119" s="54">
        <v>7.4470000000000001</v>
      </c>
      <c r="AO119" s="55"/>
      <c r="AP119" s="21">
        <f>AN119*AO119*2/3</f>
        <v>0</v>
      </c>
      <c r="AQ119" s="55"/>
      <c r="AR119" s="55"/>
      <c r="AS119" s="21">
        <f>AQ119*AR119*2/3</f>
        <v>0</v>
      </c>
      <c r="AT119" s="54"/>
      <c r="AU119" s="54"/>
      <c r="AV119" s="21">
        <f>AT119*AU119*0.5</f>
        <v>0</v>
      </c>
      <c r="AW119" s="54"/>
      <c r="AX119" s="54"/>
      <c r="AY119" s="21">
        <f>AW119*AX119*0.5</f>
        <v>0</v>
      </c>
      <c r="AZ119" s="54"/>
      <c r="BA119" s="54"/>
      <c r="BB119" s="21">
        <f>AZ119*BA119*2/3</f>
        <v>0</v>
      </c>
      <c r="BC119" s="54"/>
      <c r="BD119" s="54"/>
      <c r="BE119" s="21">
        <f>BC119*BD119*2/3</f>
        <v>0</v>
      </c>
      <c r="BF119" s="55"/>
      <c r="BG119" s="55"/>
      <c r="BH119" s="21">
        <f>BF119*BG119*0.5</f>
        <v>0</v>
      </c>
      <c r="BI119" s="55"/>
      <c r="BJ119" s="55"/>
      <c r="BK119" s="21">
        <f>BI119*BJ119*2/3</f>
        <v>0</v>
      </c>
      <c r="BL119" s="55"/>
      <c r="BM119" s="55"/>
      <c r="BN119" s="21">
        <f>BL119*BM119*0.5</f>
        <v>0</v>
      </c>
      <c r="BO119" s="55"/>
      <c r="BP119" s="55"/>
      <c r="BQ119" s="21">
        <f>BO119*BP119*0.5</f>
        <v>0</v>
      </c>
      <c r="BR119" s="55"/>
      <c r="BS119" s="21">
        <f>AM119+AP119+AS119+AV119+AY119+BB119+BE119+BH119+BK119+BN119+BQ119</f>
        <v>0</v>
      </c>
      <c r="BT119" s="56"/>
      <c r="BU119" s="56"/>
      <c r="BV119" s="21">
        <f>BT119*BU119*0.5</f>
        <v>0</v>
      </c>
      <c r="BW119" s="77">
        <f>BT119-CF119</f>
        <v>0</v>
      </c>
      <c r="BX119" s="55"/>
      <c r="BY119" s="21">
        <f>BW119*BX119*2/3</f>
        <v>0</v>
      </c>
      <c r="BZ119" s="55"/>
      <c r="CA119" s="55"/>
      <c r="CB119" s="21">
        <f>BZ119*CA119*2/3</f>
        <v>0</v>
      </c>
      <c r="CC119" s="55"/>
      <c r="CD119" s="55"/>
      <c r="CE119" s="21">
        <f>CC119*CD119*2/3</f>
        <v>0</v>
      </c>
      <c r="CF119" s="21"/>
      <c r="CG119" s="21"/>
      <c r="CH119" s="21">
        <f>CF119*CG119*0.5</f>
        <v>0</v>
      </c>
      <c r="CI119" s="25">
        <f>BV119+BY119+CB119+CE119+CH119+DG119</f>
        <v>0</v>
      </c>
      <c r="CJ119" s="54"/>
      <c r="CK119" s="21">
        <f t="shared" si="161"/>
        <v>0</v>
      </c>
      <c r="CL119" s="55"/>
      <c r="CM119" s="55"/>
      <c r="CN119" s="60"/>
      <c r="CO119" s="55" t="s">
        <v>517</v>
      </c>
      <c r="CP119" s="55"/>
      <c r="CQ119" s="55"/>
      <c r="CR119" s="55"/>
      <c r="CS119" s="55"/>
      <c r="CT119" s="55"/>
      <c r="CU119" s="55"/>
      <c r="CV119" s="55"/>
      <c r="CW119" s="55"/>
      <c r="CX119" s="55"/>
      <c r="CY119" s="21">
        <f>(CT119+4*CU119+2*CV119+4*CW119+CX119)*AN119/12</f>
        <v>0</v>
      </c>
      <c r="CZ119" s="56"/>
      <c r="DA119" s="56"/>
      <c r="DB119" s="56"/>
      <c r="DC119" s="56"/>
      <c r="DD119" s="61">
        <f>IF(CZ119,DC119/CZ119,smg_sf_no_details)</f>
        <v>0</v>
      </c>
      <c r="DE119" s="21">
        <f>IF(CZ119,CZ119*(DA119+DB119)/4+(DC119-CZ119/2)*(DA119+DB119)/3,sas_no_details)</f>
        <v>0</v>
      </c>
      <c r="DF119" s="55">
        <v>13.037000000000001</v>
      </c>
      <c r="DG119" s="55"/>
      <c r="DH119" s="55"/>
      <c r="DJ119" s="104"/>
      <c r="DK119" s="53"/>
      <c r="DM119" s="58">
        <f t="shared" si="108"/>
        <v>519.65735547747829</v>
      </c>
      <c r="DN119" s="58">
        <f t="shared" si="163"/>
        <v>397.5</v>
      </c>
      <c r="DO119" s="21">
        <f t="shared" si="164"/>
        <v>0.7649271117018327</v>
      </c>
      <c r="DP119" s="62">
        <f>IF((1/DO119)^$DP$5&lt;1,1,(1/DO119)^$DP$5)</f>
        <v>1.0299159738596391</v>
      </c>
      <c r="DQ119" s="7">
        <v>0</v>
      </c>
      <c r="DR119" s="107" t="str">
        <f t="shared" si="111"/>
        <v>yes</v>
      </c>
    </row>
    <row r="120" spans="1:122" ht="12.75" customHeight="1" x14ac:dyDescent="0.2">
      <c r="A120" s="53" t="s">
        <v>582</v>
      </c>
      <c r="B120" s="54">
        <v>1</v>
      </c>
      <c r="C120" s="92">
        <f>AI120*PowerFactor</f>
        <v>97.672479933344036</v>
      </c>
      <c r="D120" s="92">
        <f>AJ120*PowerFactor*IF(crew=1,1.01,1)</f>
        <v>96.677942822596762</v>
      </c>
      <c r="E120" s="92">
        <f>VLOOKUP(A120,[3]TRTOTAL!$A$7:$D$313,3,FALSE)</f>
        <v>97.71045521430716</v>
      </c>
      <c r="F120" s="92">
        <f>VLOOKUP(A120,[3]TRTOTAL!$A$7:$D$313,4,FALSE)</f>
        <v>96.715531425283316</v>
      </c>
      <c r="G120" s="92">
        <f t="shared" si="112"/>
        <v>-3.7975280963124192E-2</v>
      </c>
      <c r="H120" s="92">
        <f t="shared" si="113"/>
        <v>-3.7588602686554395E-2</v>
      </c>
      <c r="I120" s="54">
        <v>4.6399999999999997</v>
      </c>
      <c r="J120" s="56">
        <v>4.6399999999999997</v>
      </c>
      <c r="K120" s="54">
        <v>2.5</v>
      </c>
      <c r="L120" s="57">
        <v>1</v>
      </c>
      <c r="M120" s="57">
        <v>110</v>
      </c>
      <c r="N120" s="57"/>
      <c r="O120" s="87" t="s">
        <v>595</v>
      </c>
      <c r="P120" s="24">
        <f t="shared" si="152"/>
        <v>13.037000000000001</v>
      </c>
      <c r="Q120" s="24">
        <f t="shared" si="149"/>
        <v>7.4470000000000001</v>
      </c>
      <c r="R120" s="24">
        <f>CI120</f>
        <v>6.4349999999999996</v>
      </c>
      <c r="S120" s="87">
        <v>7.45</v>
      </c>
      <c r="T120" s="21">
        <f t="shared" si="154"/>
        <v>6.4349999999999996</v>
      </c>
      <c r="U120" s="21"/>
      <c r="V120" s="24">
        <f>IF(e_sp,e_sp,(IF(mfoot,MAX(CU120:CX120),IF(mainh1,mainh1,vlm*0.3))))</f>
        <v>2.2340999999999998</v>
      </c>
      <c r="W120" s="24">
        <f>IF(circMast,circMast/2,0.16)+V120</f>
        <v>2.3940999999999999</v>
      </c>
      <c r="X120" s="24">
        <f t="shared" si="157"/>
        <v>2.2745374520823378</v>
      </c>
      <c r="Y120" s="25">
        <f t="shared" si="128"/>
        <v>1</v>
      </c>
      <c r="Z120" s="24">
        <f>0.67*X120^0.3*msam*Y120</f>
        <v>11.176875051557447</v>
      </c>
      <c r="AA120" s="21">
        <f t="shared" si="158"/>
        <v>0</v>
      </c>
      <c r="AB120" s="24">
        <f>IF(AA120,0.72*AA120^0.3*msag,IF(msag,0.9*msag,0))</f>
        <v>5.7915000000000001</v>
      </c>
      <c r="AC120" s="24">
        <f t="shared" si="142"/>
        <v>18.315480051557447</v>
      </c>
      <c r="AD120" s="58">
        <f t="shared" si="159"/>
        <v>185</v>
      </c>
      <c r="AE120" s="58">
        <f t="shared" si="160"/>
        <v>191</v>
      </c>
      <c r="AF120" s="21">
        <f t="shared" si="94"/>
        <v>2.1</v>
      </c>
      <c r="AG120" s="77">
        <f t="shared" si="95"/>
        <v>0</v>
      </c>
      <c r="AH120" s="114">
        <f t="shared" si="129"/>
        <v>0.95</v>
      </c>
      <c r="AI120" s="59">
        <f t="shared" si="96"/>
        <v>91.631560044716068</v>
      </c>
      <c r="AJ120" s="59">
        <f t="shared" si="97"/>
        <v>89.800528516718472</v>
      </c>
      <c r="AK120" s="55"/>
      <c r="AL120" s="55"/>
      <c r="AM120" s="21">
        <f>AK120*AL120*0.5</f>
        <v>0</v>
      </c>
      <c r="AN120" s="54">
        <v>7.4470000000000001</v>
      </c>
      <c r="AO120" s="55"/>
      <c r="AP120" s="21">
        <f>AN120*AO120*2/3</f>
        <v>0</v>
      </c>
      <c r="AQ120" s="55"/>
      <c r="AR120" s="55"/>
      <c r="AS120" s="21">
        <f>AQ120*AR120*2/3</f>
        <v>0</v>
      </c>
      <c r="AT120" s="54"/>
      <c r="AU120" s="54"/>
      <c r="AV120" s="21">
        <f>AT120*AU120*0.5</f>
        <v>0</v>
      </c>
      <c r="AW120" s="54"/>
      <c r="AX120" s="54"/>
      <c r="AY120" s="21">
        <f>AW120*AX120*0.5</f>
        <v>0</v>
      </c>
      <c r="AZ120" s="54"/>
      <c r="BA120" s="54"/>
      <c r="BB120" s="21">
        <f>AZ120*BA120*2/3</f>
        <v>0</v>
      </c>
      <c r="BC120" s="54"/>
      <c r="BD120" s="54"/>
      <c r="BE120" s="21">
        <f>BC120*BD120*2/3</f>
        <v>0</v>
      </c>
      <c r="BF120" s="55"/>
      <c r="BG120" s="55"/>
      <c r="BH120" s="21">
        <f>BF120*BG120*0.5</f>
        <v>0</v>
      </c>
      <c r="BI120" s="55"/>
      <c r="BJ120" s="55"/>
      <c r="BK120" s="21">
        <f>BI120*BJ120*2/3</f>
        <v>0</v>
      </c>
      <c r="BL120" s="55"/>
      <c r="BM120" s="55"/>
      <c r="BN120" s="21">
        <f>BL120*BM120*0.5</f>
        <v>0</v>
      </c>
      <c r="BO120" s="55"/>
      <c r="BP120" s="55"/>
      <c r="BQ120" s="21">
        <f>BO120*BP120*0.5</f>
        <v>0</v>
      </c>
      <c r="BR120" s="55"/>
      <c r="BS120" s="21">
        <f>AM120+AP120+AS120+AV120+AY120+BB120+BE120+BH120+BK120+BN120+BQ120</f>
        <v>0</v>
      </c>
      <c r="BT120" s="56"/>
      <c r="BU120" s="56"/>
      <c r="BV120" s="21">
        <f>BT120*BU120*0.5</f>
        <v>0</v>
      </c>
      <c r="BW120" s="77">
        <f>BT120-CF120</f>
        <v>0</v>
      </c>
      <c r="BX120" s="55"/>
      <c r="BY120" s="21">
        <f>BW120*BX120*2/3</f>
        <v>0</v>
      </c>
      <c r="BZ120" s="55"/>
      <c r="CA120" s="55"/>
      <c r="CB120" s="21">
        <f>BZ120*CA120*2/3</f>
        <v>0</v>
      </c>
      <c r="CC120" s="55"/>
      <c r="CD120" s="55"/>
      <c r="CE120" s="21">
        <f>CC120*CD120*2/3</f>
        <v>0</v>
      </c>
      <c r="CF120" s="21"/>
      <c r="CG120" s="21"/>
      <c r="CH120" s="21">
        <f>CF120*CG120*0.5</f>
        <v>0</v>
      </c>
      <c r="CI120" s="25">
        <f>BV120+BY120+CB120+CE120+CH120+DG120</f>
        <v>6.4349999999999996</v>
      </c>
      <c r="CJ120" s="54"/>
      <c r="CK120" s="21">
        <f t="shared" si="161"/>
        <v>0</v>
      </c>
      <c r="CL120" s="55"/>
      <c r="CM120" s="55"/>
      <c r="CN120" s="60"/>
      <c r="CO120" s="55" t="s">
        <v>517</v>
      </c>
      <c r="CP120" s="55"/>
      <c r="CQ120" s="55"/>
      <c r="CR120" s="55"/>
      <c r="CS120" s="55"/>
      <c r="CT120" s="55"/>
      <c r="CU120" s="55"/>
      <c r="CV120" s="55"/>
      <c r="CW120" s="55"/>
      <c r="CX120" s="55"/>
      <c r="CY120" s="21">
        <f>(CT120+4*CU120+2*CV120+4*CW120+CX120)*AN120/12</f>
        <v>0</v>
      </c>
      <c r="CZ120" s="56"/>
      <c r="DA120" s="56"/>
      <c r="DB120" s="56"/>
      <c r="DC120" s="56"/>
      <c r="DD120" s="61">
        <f>IF(CZ120,DC120/CZ120,smg_sf_no_details)</f>
        <v>0</v>
      </c>
      <c r="DE120" s="21">
        <f>IF(CZ120,CZ120*(DA120+DB120)/4+(DC120-CZ120/2)*(DA120+DB120)/3,sas_no_details)</f>
        <v>0</v>
      </c>
      <c r="DF120" s="55">
        <v>13.037000000000001</v>
      </c>
      <c r="DG120" s="55">
        <v>6.4349999999999996</v>
      </c>
      <c r="DH120" s="55">
        <v>6.4349999999999996</v>
      </c>
      <c r="DI120" s="55"/>
      <c r="DJ120" s="104"/>
      <c r="DK120" s="53"/>
      <c r="DM120" s="58">
        <f t="shared" si="108"/>
        <v>714.70175286531821</v>
      </c>
      <c r="DN120" s="58">
        <f t="shared" si="163"/>
        <v>400</v>
      </c>
      <c r="DO120" s="21">
        <f t="shared" si="164"/>
        <v>0.5596740156244977</v>
      </c>
      <c r="DP120" s="62">
        <f>IF((1/DO120)^$DP$5&lt;1,1,(1/DO120)^$DP$5)</f>
        <v>1.0659261927405799</v>
      </c>
      <c r="DQ120" s="7">
        <v>0</v>
      </c>
      <c r="DR120" s="107" t="str">
        <f t="shared" si="111"/>
        <v>yes</v>
      </c>
    </row>
    <row r="121" spans="1:122" ht="12.75" customHeight="1" x14ac:dyDescent="0.2">
      <c r="A121" s="53" t="s">
        <v>583</v>
      </c>
      <c r="B121" s="54">
        <v>2</v>
      </c>
      <c r="C121" s="92">
        <f>AI121*PowerFactor</f>
        <v>120.64758049386285</v>
      </c>
      <c r="D121" s="92">
        <f>AJ121*PowerFactor*IF(crew=1,1.01,1)</f>
        <v>110.06039260346239</v>
      </c>
      <c r="E121" s="92">
        <f>VLOOKUP(A121,[3]TRTOTAL!$A$7:$D$313,3,FALSE)</f>
        <v>119.10747244776631</v>
      </c>
      <c r="F121" s="92">
        <f>VLOOKUP(A121,[3]TRTOTAL!$A$7:$D$313,4,FALSE)</f>
        <v>110.56372356633706</v>
      </c>
      <c r="G121" s="92">
        <f t="shared" si="112"/>
        <v>1.5401080460965346</v>
      </c>
      <c r="H121" s="92">
        <f t="shared" si="113"/>
        <v>-0.50333096287467072</v>
      </c>
      <c r="I121" s="54">
        <v>5.68</v>
      </c>
      <c r="J121" s="56">
        <v>4.6399999999999997</v>
      </c>
      <c r="K121" s="54">
        <v>2.5</v>
      </c>
      <c r="L121" s="57">
        <v>1</v>
      </c>
      <c r="M121" s="57">
        <v>108</v>
      </c>
      <c r="N121" s="57"/>
      <c r="O121" s="87" t="s">
        <v>595</v>
      </c>
      <c r="P121" s="24">
        <f t="shared" si="152"/>
        <v>13.037000000000001</v>
      </c>
      <c r="Q121" s="24">
        <f t="shared" si="149"/>
        <v>7.4470000000000001</v>
      </c>
      <c r="R121" s="24">
        <f>CI121</f>
        <v>0</v>
      </c>
      <c r="S121" s="87">
        <v>7.45</v>
      </c>
      <c r="T121" s="21">
        <f t="shared" si="154"/>
        <v>0</v>
      </c>
      <c r="U121" s="21"/>
      <c r="V121" s="24">
        <f>IF(e_sp,e_sp,(IF(mfoot,MAX(CU121:CX121),IF(mainh1,mainh1,vlm*0.3))))</f>
        <v>2.2340999999999998</v>
      </c>
      <c r="W121" s="24">
        <f>IF(circMast,circMast/2,0.16)+V121</f>
        <v>2.3940999999999999</v>
      </c>
      <c r="X121" s="24">
        <f t="shared" si="157"/>
        <v>2.2745374520823378</v>
      </c>
      <c r="Y121" s="25">
        <f t="shared" si="128"/>
        <v>1</v>
      </c>
      <c r="Z121" s="24">
        <f>0.67*X121^0.3*msam*Y121</f>
        <v>11.176875051557447</v>
      </c>
      <c r="AA121" s="21">
        <f t="shared" si="158"/>
        <v>0</v>
      </c>
      <c r="AB121" s="24">
        <f>IF(AA121,0.72*AA121^0.3*msag,IF(msag,0.9*msag,0))</f>
        <v>0</v>
      </c>
      <c r="AC121" s="24">
        <f t="shared" si="142"/>
        <v>14.326875051557447</v>
      </c>
      <c r="AD121" s="58">
        <f t="shared" si="159"/>
        <v>258</v>
      </c>
      <c r="AE121" s="58">
        <f t="shared" si="160"/>
        <v>264</v>
      </c>
      <c r="AF121" s="21">
        <f t="shared" si="94"/>
        <v>3.15</v>
      </c>
      <c r="AG121" s="77">
        <f t="shared" si="95"/>
        <v>0</v>
      </c>
      <c r="AH121" s="114">
        <f t="shared" si="129"/>
        <v>0.95</v>
      </c>
      <c r="AI121" s="59">
        <f t="shared" si="96"/>
        <v>120.64758049386285</v>
      </c>
      <c r="AJ121" s="59">
        <f t="shared" si="97"/>
        <v>110.06039260346239</v>
      </c>
      <c r="AK121" s="55"/>
      <c r="AL121" s="55"/>
      <c r="AM121" s="21">
        <f>AK121*AL121*0.5</f>
        <v>0</v>
      </c>
      <c r="AN121" s="54">
        <v>7.4470000000000001</v>
      </c>
      <c r="AO121" s="55"/>
      <c r="AP121" s="21">
        <f>AN121*AO121*2/3</f>
        <v>0</v>
      </c>
      <c r="AQ121" s="55"/>
      <c r="AR121" s="55"/>
      <c r="AS121" s="21">
        <f>AQ121*AR121*2/3</f>
        <v>0</v>
      </c>
      <c r="AT121" s="54"/>
      <c r="AU121" s="54"/>
      <c r="AV121" s="21">
        <f>AT121*AU121*0.5</f>
        <v>0</v>
      </c>
      <c r="AW121" s="54"/>
      <c r="AX121" s="54"/>
      <c r="AY121" s="21">
        <f>AW121*AX121*0.5</f>
        <v>0</v>
      </c>
      <c r="AZ121" s="54"/>
      <c r="BA121" s="54"/>
      <c r="BB121" s="21">
        <f>AZ121*BA121*2/3</f>
        <v>0</v>
      </c>
      <c r="BC121" s="54"/>
      <c r="BD121" s="54"/>
      <c r="BE121" s="21">
        <f>BC121*BD121*2/3</f>
        <v>0</v>
      </c>
      <c r="BF121" s="55"/>
      <c r="BG121" s="55"/>
      <c r="BH121" s="21">
        <f>BF121*BG121*0.5</f>
        <v>0</v>
      </c>
      <c r="BI121" s="55"/>
      <c r="BJ121" s="55"/>
      <c r="BK121" s="21">
        <f>BI121*BJ121*2/3</f>
        <v>0</v>
      </c>
      <c r="BL121" s="55"/>
      <c r="BM121" s="55"/>
      <c r="BN121" s="21">
        <f>BL121*BM121*0.5</f>
        <v>0</v>
      </c>
      <c r="BO121" s="55"/>
      <c r="BP121" s="55"/>
      <c r="BQ121" s="21">
        <f>BO121*BP121*0.5</f>
        <v>0</v>
      </c>
      <c r="BR121" s="55"/>
      <c r="BS121" s="21">
        <f>AM121+AP121+AS121+AV121+AY121+BB121+BE121+BH121+BK121+BN121+BQ121</f>
        <v>0</v>
      </c>
      <c r="BT121" s="56"/>
      <c r="BU121" s="56"/>
      <c r="BV121" s="21">
        <f>BT121*BU121*0.5</f>
        <v>0</v>
      </c>
      <c r="BW121" s="77">
        <f>BT121-CF121</f>
        <v>0</v>
      </c>
      <c r="BX121" s="55"/>
      <c r="BY121" s="21">
        <f>BW121*BX121*2/3</f>
        <v>0</v>
      </c>
      <c r="BZ121" s="55"/>
      <c r="CA121" s="55"/>
      <c r="CB121" s="21">
        <f>BZ121*CA121*2/3</f>
        <v>0</v>
      </c>
      <c r="CC121" s="55"/>
      <c r="CD121" s="55"/>
      <c r="CE121" s="21">
        <f>CC121*CD121*2/3</f>
        <v>0</v>
      </c>
      <c r="CF121" s="21"/>
      <c r="CG121" s="21"/>
      <c r="CH121" s="21">
        <f>CF121*CG121*0.5</f>
        <v>0</v>
      </c>
      <c r="CI121" s="25">
        <f>BV121+BY121+CB121+CE121+CH121+DG121</f>
        <v>0</v>
      </c>
      <c r="CJ121" s="54"/>
      <c r="CK121" s="21">
        <f t="shared" si="161"/>
        <v>0</v>
      </c>
      <c r="CL121" s="55"/>
      <c r="CM121" s="55"/>
      <c r="CN121" s="60"/>
      <c r="CO121" s="55" t="s">
        <v>517</v>
      </c>
      <c r="CP121" s="55"/>
      <c r="CQ121" s="55"/>
      <c r="CR121" s="55"/>
      <c r="CS121" s="55"/>
      <c r="CT121" s="55"/>
      <c r="CU121" s="55"/>
      <c r="CV121" s="55"/>
      <c r="CW121" s="55"/>
      <c r="CX121" s="55"/>
      <c r="CY121" s="21">
        <f>(CT121+4*CU121+2*CV121+4*CW121+CX121)*AN121/12</f>
        <v>0</v>
      </c>
      <c r="CZ121" s="56"/>
      <c r="DA121" s="56"/>
      <c r="DB121" s="56"/>
      <c r="DC121" s="56"/>
      <c r="DD121" s="61">
        <f>IF(CZ121,DC121/CZ121,smg_sf_no_details)</f>
        <v>0</v>
      </c>
      <c r="DE121" s="21">
        <f>IF(CZ121,CZ121*(DA121+DB121)/4+(DC121-CZ121/2)*(DA121+DB121)/3,sas_no_details)</f>
        <v>0</v>
      </c>
      <c r="DF121" s="55">
        <v>13.037000000000001</v>
      </c>
      <c r="DG121" s="55"/>
      <c r="DH121" s="55"/>
      <c r="DJ121" s="104"/>
      <c r="DK121" s="53"/>
      <c r="DM121" s="58">
        <f t="shared" si="108"/>
        <v>519.65735547747829</v>
      </c>
      <c r="DN121" s="58">
        <f t="shared" si="163"/>
        <v>585</v>
      </c>
      <c r="DO121" s="21">
        <f t="shared" si="164"/>
        <v>1.1257417870328859</v>
      </c>
      <c r="DP121" s="62">
        <f>IF((1/DO121)^$DP$5&lt;1,1,(1/DO121)^$DP$5)</f>
        <v>1</v>
      </c>
      <c r="DQ121" s="7">
        <v>0</v>
      </c>
      <c r="DR121" s="107" t="str">
        <f t="shared" si="111"/>
        <v>yes</v>
      </c>
    </row>
    <row r="122" spans="1:122" ht="12.75" customHeight="1" x14ac:dyDescent="0.2">
      <c r="A122" s="53" t="s">
        <v>584</v>
      </c>
      <c r="B122" s="54">
        <v>2</v>
      </c>
      <c r="C122" s="92">
        <f>AI122*PowerFactor</f>
        <v>103.85121190824105</v>
      </c>
      <c r="D122" s="92">
        <f>AJ122*PowerFactor*IF(crew=1,1.01,1)</f>
        <v>100.52435270065176</v>
      </c>
      <c r="E122" s="92">
        <f>VLOOKUP(A122,[3]TRTOTAL!$A$7:$D$313,3,FALSE)</f>
        <v>103.89158949416156</v>
      </c>
      <c r="F122" s="92">
        <f>VLOOKUP(A122,[3]TRTOTAL!$A$7:$D$313,4,FALSE)</f>
        <v>100.56343679619279</v>
      </c>
      <c r="G122" s="92">
        <f t="shared" si="112"/>
        <v>-4.0377585920509773E-2</v>
      </c>
      <c r="H122" s="92">
        <f t="shared" si="113"/>
        <v>-3.9084095541028319E-2</v>
      </c>
      <c r="I122" s="54">
        <v>4.6399999999999997</v>
      </c>
      <c r="J122" s="56">
        <v>4.6399999999999997</v>
      </c>
      <c r="K122" s="54">
        <v>2.5</v>
      </c>
      <c r="L122" s="57">
        <v>1</v>
      </c>
      <c r="M122" s="57">
        <v>110</v>
      </c>
      <c r="N122" s="57"/>
      <c r="O122" s="87" t="s">
        <v>595</v>
      </c>
      <c r="P122" s="24">
        <f t="shared" si="152"/>
        <v>13.037000000000001</v>
      </c>
      <c r="Q122" s="24">
        <f t="shared" si="149"/>
        <v>7.4470000000000001</v>
      </c>
      <c r="R122" s="24">
        <f>CI122</f>
        <v>6.4349999999999996</v>
      </c>
      <c r="S122" s="87">
        <v>7.45</v>
      </c>
      <c r="T122" s="21">
        <f t="shared" si="154"/>
        <v>6.4349999999999996</v>
      </c>
      <c r="U122" s="21"/>
      <c r="V122" s="24">
        <f>IF(e_sp,e_sp,(IF(mfoot,MAX(CU122:CX122),IF(mainh1,mainh1,vlm*0.3))))</f>
        <v>2.2340999999999998</v>
      </c>
      <c r="W122" s="24">
        <f>IF(circMast,circMast/2,0.16)+V122</f>
        <v>2.3940999999999999</v>
      </c>
      <c r="X122" s="24">
        <f t="shared" si="157"/>
        <v>2.2745374520823378</v>
      </c>
      <c r="Y122" s="25">
        <f t="shared" si="128"/>
        <v>1</v>
      </c>
      <c r="Z122" s="24">
        <f>0.67*X122^0.3*msam*Y122</f>
        <v>11.176875051557447</v>
      </c>
      <c r="AA122" s="21">
        <f t="shared" si="158"/>
        <v>0</v>
      </c>
      <c r="AB122" s="24">
        <f>IF(AA122,0.72*AA122^0.3*msag,IF(msag,0.9*msag,0))</f>
        <v>5.7915000000000001</v>
      </c>
      <c r="AC122" s="24">
        <f t="shared" si="142"/>
        <v>18.765480051557446</v>
      </c>
      <c r="AD122" s="58">
        <f t="shared" si="159"/>
        <v>250</v>
      </c>
      <c r="AE122" s="58">
        <f t="shared" si="160"/>
        <v>256</v>
      </c>
      <c r="AF122" s="21">
        <f t="shared" si="94"/>
        <v>2.5499999999999998</v>
      </c>
      <c r="AG122" s="77">
        <f t="shared" si="95"/>
        <v>0</v>
      </c>
      <c r="AH122" s="114">
        <f t="shared" si="129"/>
        <v>0.95</v>
      </c>
      <c r="AI122" s="59">
        <f t="shared" si="96"/>
        <v>101.05196701975819</v>
      </c>
      <c r="AJ122" s="59">
        <f t="shared" si="97"/>
        <v>97.814781234947773</v>
      </c>
      <c r="AK122" s="55"/>
      <c r="AL122" s="55"/>
      <c r="AM122" s="21">
        <f>AK122*AL122*0.5</f>
        <v>0</v>
      </c>
      <c r="AN122" s="54">
        <v>7.4470000000000001</v>
      </c>
      <c r="AO122" s="55"/>
      <c r="AP122" s="21">
        <f>AN122*AO122*2/3</f>
        <v>0</v>
      </c>
      <c r="AQ122" s="55"/>
      <c r="AR122" s="55"/>
      <c r="AS122" s="21">
        <f>AQ122*AR122*2/3</f>
        <v>0</v>
      </c>
      <c r="AT122" s="54"/>
      <c r="AU122" s="54"/>
      <c r="AV122" s="21">
        <f>AT122*AU122*0.5</f>
        <v>0</v>
      </c>
      <c r="AW122" s="54"/>
      <c r="AX122" s="54"/>
      <c r="AY122" s="21">
        <f>AW122*AX122*0.5</f>
        <v>0</v>
      </c>
      <c r="AZ122" s="54"/>
      <c r="BA122" s="54"/>
      <c r="BB122" s="21">
        <f>AZ122*BA122*2/3</f>
        <v>0</v>
      </c>
      <c r="BC122" s="54"/>
      <c r="BD122" s="54"/>
      <c r="BE122" s="21">
        <f>BC122*BD122*2/3</f>
        <v>0</v>
      </c>
      <c r="BF122" s="55"/>
      <c r="BG122" s="55"/>
      <c r="BH122" s="21">
        <f>BF122*BG122*0.5</f>
        <v>0</v>
      </c>
      <c r="BI122" s="55"/>
      <c r="BJ122" s="55"/>
      <c r="BK122" s="21">
        <f>BI122*BJ122*2/3</f>
        <v>0</v>
      </c>
      <c r="BL122" s="55"/>
      <c r="BM122" s="55"/>
      <c r="BN122" s="21">
        <f>BL122*BM122*0.5</f>
        <v>0</v>
      </c>
      <c r="BO122" s="55"/>
      <c r="BP122" s="55"/>
      <c r="BQ122" s="21">
        <f>BO122*BP122*0.5</f>
        <v>0</v>
      </c>
      <c r="BR122" s="55"/>
      <c r="BS122" s="21">
        <f>AM122+AP122+AS122+AV122+AY122+BB122+BE122+BH122+BK122+BN122+BQ122</f>
        <v>0</v>
      </c>
      <c r="BT122" s="56"/>
      <c r="BU122" s="56"/>
      <c r="BV122" s="21">
        <f>BT122*BU122*0.5</f>
        <v>0</v>
      </c>
      <c r="BW122" s="77">
        <f>BT122-CF122</f>
        <v>0</v>
      </c>
      <c r="BX122" s="55"/>
      <c r="BY122" s="21">
        <f>BW122*BX122*2/3</f>
        <v>0</v>
      </c>
      <c r="BZ122" s="55"/>
      <c r="CA122" s="55"/>
      <c r="CB122" s="21">
        <f>BZ122*CA122*2/3</f>
        <v>0</v>
      </c>
      <c r="CC122" s="55"/>
      <c r="CD122" s="55"/>
      <c r="CE122" s="21">
        <f>CC122*CD122*2/3</f>
        <v>0</v>
      </c>
      <c r="CF122" s="21"/>
      <c r="CG122" s="21"/>
      <c r="CH122" s="21">
        <f>CF122*CG122*0.5</f>
        <v>0</v>
      </c>
      <c r="CI122" s="25">
        <f>BV122+BY122+CB122+CE122+CH122+DG122</f>
        <v>6.4349999999999996</v>
      </c>
      <c r="CJ122" s="54"/>
      <c r="CK122" s="21">
        <f t="shared" si="161"/>
        <v>0</v>
      </c>
      <c r="CL122" s="55"/>
      <c r="CM122" s="55"/>
      <c r="CN122" s="60"/>
      <c r="CO122" s="55" t="s">
        <v>517</v>
      </c>
      <c r="CP122" s="55"/>
      <c r="CQ122" s="55"/>
      <c r="CR122" s="55"/>
      <c r="CS122" s="55"/>
      <c r="CT122" s="55"/>
      <c r="CU122" s="55"/>
      <c r="CV122" s="55"/>
      <c r="CW122" s="55"/>
      <c r="CX122" s="55"/>
      <c r="CY122" s="21">
        <f>(CT122+4*CU122+2*CV122+4*CW122+CX122)*AN122/12</f>
        <v>0</v>
      </c>
      <c r="CZ122" s="56"/>
      <c r="DA122" s="56"/>
      <c r="DB122" s="56"/>
      <c r="DC122" s="56"/>
      <c r="DD122" s="61">
        <f>IF(CZ122,DC122/CZ122,smg_sf_no_details)</f>
        <v>0</v>
      </c>
      <c r="DE122" s="21">
        <f>IF(CZ122,CZ122*(DA122+DB122)/4+(DC122-CZ122/2)*(DA122+DB122)/3,sas_no_details)</f>
        <v>0</v>
      </c>
      <c r="DF122" s="55">
        <v>13.037000000000001</v>
      </c>
      <c r="DG122" s="55">
        <v>6.4349999999999996</v>
      </c>
      <c r="DH122" s="55">
        <v>6.4349999999999996</v>
      </c>
      <c r="DI122" s="55"/>
      <c r="DJ122" s="104"/>
      <c r="DK122" s="53"/>
      <c r="DM122" s="58">
        <f t="shared" si="108"/>
        <v>714.70175286531821</v>
      </c>
      <c r="DN122" s="58">
        <f t="shared" si="163"/>
        <v>557.5</v>
      </c>
      <c r="DO122" s="21">
        <f t="shared" si="164"/>
        <v>0.78004565927664371</v>
      </c>
      <c r="DP122" s="62">
        <f>IF((1/DO122)^$DP$5&lt;1,1,(1/DO122)^$DP$5)</f>
        <v>1.0277010430478364</v>
      </c>
      <c r="DQ122" s="7">
        <v>0</v>
      </c>
      <c r="DR122" s="107" t="str">
        <f t="shared" si="111"/>
        <v>yes</v>
      </c>
    </row>
    <row r="123" spans="1:122" ht="12.75" customHeight="1" x14ac:dyDescent="0.2">
      <c r="A123" s="53" t="s">
        <v>283</v>
      </c>
      <c r="B123" s="54">
        <v>2</v>
      </c>
      <c r="C123" s="92">
        <f t="shared" ref="C123:C130" si="173">AI123*PowerFactor</f>
        <v>104.34165130545233</v>
      </c>
      <c r="D123" s="92">
        <f t="shared" ref="D123:D130" si="174">AJ123*PowerFactor*IF(crew=1,1.01,1)</f>
        <v>97.900166363683979</v>
      </c>
      <c r="E123" s="92">
        <f>VLOOKUP(A123,[3]TRTOTAL!$A$7:$D$313,3,FALSE)</f>
        <v>104.34165130545233</v>
      </c>
      <c r="F123" s="92">
        <f>VLOOKUP(A123,[3]TRTOTAL!$A$7:$D$313,4,FALSE)</f>
        <v>97.900166363683979</v>
      </c>
      <c r="G123" s="92">
        <f t="shared" si="112"/>
        <v>0</v>
      </c>
      <c r="H123" s="92">
        <f t="shared" si="113"/>
        <v>0</v>
      </c>
      <c r="I123" s="54">
        <v>6.09</v>
      </c>
      <c r="J123" s="56">
        <v>6.09</v>
      </c>
      <c r="K123" s="54">
        <v>2.6</v>
      </c>
      <c r="L123" s="57">
        <v>2</v>
      </c>
      <c r="M123" s="57">
        <v>169</v>
      </c>
      <c r="N123" s="57"/>
      <c r="O123" s="87"/>
      <c r="P123" s="24">
        <f t="shared" si="152"/>
        <v>21.346550000000001</v>
      </c>
      <c r="Q123" s="24">
        <f t="shared" si="149"/>
        <v>10.45</v>
      </c>
      <c r="R123" s="24">
        <f t="shared" si="153"/>
        <v>0</v>
      </c>
      <c r="S123" s="87">
        <v>10.9</v>
      </c>
      <c r="T123" s="21">
        <f t="shared" si="154"/>
        <v>0</v>
      </c>
      <c r="U123" s="21"/>
      <c r="V123" s="24">
        <f t="shared" si="155"/>
        <v>2.54</v>
      </c>
      <c r="W123" s="24">
        <f t="shared" si="156"/>
        <v>2.7149999999999999</v>
      </c>
      <c r="X123" s="24">
        <f t="shared" si="157"/>
        <v>2.8959297810065494</v>
      </c>
      <c r="Y123" s="25">
        <f t="shared" si="128"/>
        <v>1</v>
      </c>
      <c r="Z123" s="24">
        <f t="shared" si="119"/>
        <v>19.676094775249307</v>
      </c>
      <c r="AA123" s="21">
        <f t="shared" si="158"/>
        <v>0</v>
      </c>
      <c r="AB123" s="24">
        <f t="shared" si="120"/>
        <v>0</v>
      </c>
      <c r="AC123" s="24">
        <f t="shared" si="142"/>
        <v>23.426094775249307</v>
      </c>
      <c r="AD123" s="58">
        <f t="shared" si="159"/>
        <v>319</v>
      </c>
      <c r="AE123" s="58">
        <f t="shared" si="160"/>
        <v>325</v>
      </c>
      <c r="AF123" s="21">
        <f t="shared" si="94"/>
        <v>3.75</v>
      </c>
      <c r="AG123" s="77">
        <f t="shared" si="95"/>
        <v>0</v>
      </c>
      <c r="AH123" s="114">
        <f t="shared" si="129"/>
        <v>1</v>
      </c>
      <c r="AI123" s="59">
        <f t="shared" si="96"/>
        <v>100.01689815027282</v>
      </c>
      <c r="AJ123" s="59">
        <f t="shared" si="97"/>
        <v>93.842399900562881</v>
      </c>
      <c r="AK123" s="55">
        <v>10.45</v>
      </c>
      <c r="AL123" s="55">
        <v>2.54</v>
      </c>
      <c r="AM123" s="21">
        <f t="shared" si="130"/>
        <v>13.2715</v>
      </c>
      <c r="AN123" s="54">
        <v>10.45</v>
      </c>
      <c r="AO123" s="55">
        <v>0.11</v>
      </c>
      <c r="AP123" s="21">
        <f t="shared" si="131"/>
        <v>0.76633333333333331</v>
      </c>
      <c r="AQ123" s="55"/>
      <c r="AR123" s="55">
        <v>0</v>
      </c>
      <c r="AS123" s="21">
        <f t="shared" si="132"/>
        <v>0</v>
      </c>
      <c r="AT123" s="54">
        <v>10.15</v>
      </c>
      <c r="AU123" s="54">
        <v>0.53</v>
      </c>
      <c r="AV123" s="21">
        <f t="shared" si="172"/>
        <v>2.6897500000000001</v>
      </c>
      <c r="AW123" s="54"/>
      <c r="AX123" s="54"/>
      <c r="AY123" s="21">
        <f t="shared" si="134"/>
        <v>0</v>
      </c>
      <c r="AZ123" s="54">
        <v>9.92</v>
      </c>
      <c r="BA123" s="54">
        <v>0.41</v>
      </c>
      <c r="BB123" s="21">
        <f t="shared" si="135"/>
        <v>2.7114666666666665</v>
      </c>
      <c r="BC123" s="54"/>
      <c r="BD123" s="54"/>
      <c r="BE123" s="21">
        <f t="shared" si="136"/>
        <v>0</v>
      </c>
      <c r="BF123" s="55"/>
      <c r="BG123" s="55"/>
      <c r="BH123" s="21">
        <f t="shared" si="137"/>
        <v>0</v>
      </c>
      <c r="BI123" s="55"/>
      <c r="BJ123" s="55"/>
      <c r="BK123" s="21">
        <f t="shared" si="138"/>
        <v>0</v>
      </c>
      <c r="BL123" s="55"/>
      <c r="BM123" s="55"/>
      <c r="BN123" s="21">
        <f t="shared" si="139"/>
        <v>0</v>
      </c>
      <c r="BO123" s="55"/>
      <c r="BP123" s="55"/>
      <c r="BQ123" s="21">
        <f t="shared" si="140"/>
        <v>0</v>
      </c>
      <c r="BR123" s="55"/>
      <c r="BS123" s="21">
        <f t="shared" si="141"/>
        <v>19.439050000000002</v>
      </c>
      <c r="BT123" s="56">
        <v>0</v>
      </c>
      <c r="BU123" s="56"/>
      <c r="BV123" s="21">
        <f t="shared" si="168"/>
        <v>0</v>
      </c>
      <c r="BW123" s="77">
        <f t="shared" si="121"/>
        <v>0</v>
      </c>
      <c r="BX123" s="55"/>
      <c r="BY123" s="21">
        <f t="shared" si="169"/>
        <v>0</v>
      </c>
      <c r="BZ123" s="55"/>
      <c r="CA123" s="55"/>
      <c r="CB123" s="21">
        <f t="shared" si="170"/>
        <v>0</v>
      </c>
      <c r="CC123" s="54"/>
      <c r="CD123" s="54"/>
      <c r="CE123" s="21">
        <f t="shared" si="171"/>
        <v>0</v>
      </c>
      <c r="CF123" s="21"/>
      <c r="CG123" s="21"/>
      <c r="CH123" s="21">
        <f t="shared" si="122"/>
        <v>0</v>
      </c>
      <c r="CI123" s="25">
        <f t="shared" si="123"/>
        <v>0</v>
      </c>
      <c r="CJ123" s="54">
        <v>0.35</v>
      </c>
      <c r="CK123" s="21">
        <f t="shared" si="161"/>
        <v>1.9075</v>
      </c>
      <c r="CL123" s="55" t="s">
        <v>284</v>
      </c>
      <c r="CM123" s="55" t="s">
        <v>285</v>
      </c>
      <c r="CN123" s="60">
        <v>36699</v>
      </c>
      <c r="CO123" s="55" t="s">
        <v>271</v>
      </c>
      <c r="CP123" s="55"/>
      <c r="CQ123" s="55"/>
      <c r="CR123" s="55"/>
      <c r="CS123" s="55"/>
      <c r="CT123" s="55"/>
      <c r="CU123" s="55"/>
      <c r="CV123" s="55"/>
      <c r="CW123" s="55"/>
      <c r="CX123" s="55"/>
      <c r="CY123" s="21">
        <f t="shared" si="162"/>
        <v>0</v>
      </c>
      <c r="CZ123" s="56"/>
      <c r="DA123" s="56"/>
      <c r="DB123" s="56"/>
      <c r="DC123" s="56"/>
      <c r="DD123" s="61">
        <f t="shared" si="125"/>
        <v>0</v>
      </c>
      <c r="DE123" s="21">
        <f t="shared" si="126"/>
        <v>0</v>
      </c>
      <c r="DF123" s="55"/>
      <c r="DG123" s="55"/>
      <c r="DH123" s="55"/>
      <c r="DI123" s="55"/>
      <c r="DJ123" s="104"/>
      <c r="DK123" s="53"/>
      <c r="DM123" s="58">
        <f t="shared" si="108"/>
        <v>1116.2779466482557</v>
      </c>
      <c r="DN123" s="58">
        <f t="shared" si="163"/>
        <v>759.7</v>
      </c>
      <c r="DO123" s="21">
        <f t="shared" si="164"/>
        <v>0.6805652680688361</v>
      </c>
      <c r="DP123" s="62">
        <f t="shared" si="165"/>
        <v>1.0432402247536379</v>
      </c>
      <c r="DQ123" s="7">
        <v>0</v>
      </c>
      <c r="DR123" s="107">
        <f t="shared" si="111"/>
        <v>0</v>
      </c>
    </row>
    <row r="124" spans="1:122" ht="12.75" customHeight="1" x14ac:dyDescent="0.2">
      <c r="A124" s="53" t="s">
        <v>286</v>
      </c>
      <c r="B124" s="54">
        <v>2</v>
      </c>
      <c r="C124" s="92">
        <f t="shared" si="173"/>
        <v>90.737556598783726</v>
      </c>
      <c r="D124" s="92">
        <f t="shared" si="174"/>
        <v>86.581764922682339</v>
      </c>
      <c r="E124" s="92">
        <f>VLOOKUP(A124,[3]TRTOTAL!$A$7:$D$313,3,FALSE)</f>
        <v>91.123875152055078</v>
      </c>
      <c r="F124" s="92">
        <f>VLOOKUP(A124,[3]TRTOTAL!$A$7:$D$313,4,FALSE)</f>
        <v>86.950390036895072</v>
      </c>
      <c r="G124" s="92">
        <f t="shared" si="112"/>
        <v>-0.38631855327135156</v>
      </c>
      <c r="H124" s="92">
        <f t="shared" si="113"/>
        <v>-0.36862511421273325</v>
      </c>
      <c r="I124" s="54">
        <v>6.25</v>
      </c>
      <c r="J124" s="56">
        <v>6.25</v>
      </c>
      <c r="K124" s="54">
        <v>3.2</v>
      </c>
      <c r="L124" s="57">
        <v>2</v>
      </c>
      <c r="M124" s="57"/>
      <c r="N124" s="57">
        <v>192</v>
      </c>
      <c r="O124" s="87">
        <v>2</v>
      </c>
      <c r="P124" s="24">
        <v>20.93</v>
      </c>
      <c r="Q124" s="24">
        <f t="shared" si="149"/>
        <v>9.99</v>
      </c>
      <c r="R124" s="24">
        <v>5.0199999999999996</v>
      </c>
      <c r="S124" s="87">
        <v>10.4</v>
      </c>
      <c r="T124" s="21">
        <v>6.66</v>
      </c>
      <c r="U124" s="21"/>
      <c r="V124" s="24">
        <v>2.39</v>
      </c>
      <c r="W124" s="24">
        <v>2.6</v>
      </c>
      <c r="X124" s="24">
        <v>3.1</v>
      </c>
      <c r="Y124" s="25">
        <f t="shared" si="128"/>
        <v>1</v>
      </c>
      <c r="Z124" s="24">
        <f t="shared" si="119"/>
        <v>19.690309345267888</v>
      </c>
      <c r="AA124" s="21">
        <v>2.2599999999999998</v>
      </c>
      <c r="AB124" s="24">
        <f t="shared" si="120"/>
        <v>4.6160313035612024</v>
      </c>
      <c r="AC124" s="24">
        <f t="shared" si="142"/>
        <v>27.724692829366138</v>
      </c>
      <c r="AD124" s="58">
        <v>336</v>
      </c>
      <c r="AE124" s="58">
        <v>342</v>
      </c>
      <c r="AF124" s="21">
        <f t="shared" si="94"/>
        <v>4.0184362500000006</v>
      </c>
      <c r="AG124" s="77">
        <f t="shared" si="95"/>
        <v>0</v>
      </c>
      <c r="AH124" s="114">
        <f t="shared" si="129"/>
        <v>0.95</v>
      </c>
      <c r="AI124" s="59">
        <f t="shared" si="96"/>
        <v>88.111824236534986</v>
      </c>
      <c r="AJ124" s="65">
        <f t="shared" si="97"/>
        <v>84.076291437834854</v>
      </c>
      <c r="AK124" s="55">
        <v>9.99</v>
      </c>
      <c r="AL124" s="55">
        <v>2.39</v>
      </c>
      <c r="AM124" s="21">
        <v>11.94</v>
      </c>
      <c r="AN124" s="54">
        <v>9.99</v>
      </c>
      <c r="AO124" s="55">
        <v>0.11</v>
      </c>
      <c r="AP124" s="21">
        <v>0.73</v>
      </c>
      <c r="AQ124" s="55">
        <v>2.4500000000000002</v>
      </c>
      <c r="AR124" s="55"/>
      <c r="AS124" s="21"/>
      <c r="AT124" s="54">
        <v>9.7799999999999994</v>
      </c>
      <c r="AU124" s="54">
        <v>1.17</v>
      </c>
      <c r="AV124" s="21">
        <v>5.72</v>
      </c>
      <c r="AW124" s="54"/>
      <c r="AX124" s="54"/>
      <c r="AY124" s="21"/>
      <c r="AZ124" s="54">
        <v>9.4499999999999993</v>
      </c>
      <c r="BA124" s="54">
        <v>7.0000000000000007E-2</v>
      </c>
      <c r="BB124" s="21">
        <v>0.44</v>
      </c>
      <c r="BC124" s="54"/>
      <c r="BD124" s="54"/>
      <c r="BE124" s="21"/>
      <c r="BF124" s="55"/>
      <c r="BG124" s="55"/>
      <c r="BH124" s="21"/>
      <c r="BI124" s="55"/>
      <c r="BJ124" s="55"/>
      <c r="BK124" s="21"/>
      <c r="BL124" s="55"/>
      <c r="BM124" s="55"/>
      <c r="BN124" s="21"/>
      <c r="BO124" s="55"/>
      <c r="BP124" s="55"/>
      <c r="BQ124" s="21"/>
      <c r="BR124" s="55"/>
      <c r="BS124" s="21">
        <v>18.829999999999998</v>
      </c>
      <c r="BT124" s="56">
        <v>7.08</v>
      </c>
      <c r="BU124" s="56">
        <v>1.49</v>
      </c>
      <c r="BV124" s="21">
        <v>5.27</v>
      </c>
      <c r="BW124" s="77">
        <f t="shared" si="121"/>
        <v>7.08</v>
      </c>
      <c r="BX124" s="55">
        <v>-0.04</v>
      </c>
      <c r="BY124" s="21">
        <v>-0.19</v>
      </c>
      <c r="BZ124" s="55">
        <v>6.76</v>
      </c>
      <c r="CA124" s="55">
        <v>-0.02</v>
      </c>
      <c r="CB124" s="21">
        <v>-0.09</v>
      </c>
      <c r="CC124" s="55">
        <v>1.56</v>
      </c>
      <c r="CD124" s="55">
        <v>0.02</v>
      </c>
      <c r="CE124" s="21">
        <v>0.02</v>
      </c>
      <c r="CF124" s="21"/>
      <c r="CG124" s="21"/>
      <c r="CH124" s="21">
        <f t="shared" si="122"/>
        <v>0</v>
      </c>
      <c r="CI124" s="25">
        <f t="shared" si="123"/>
        <v>5.0099999999999989</v>
      </c>
      <c r="CJ124" s="54">
        <v>0.42</v>
      </c>
      <c r="CK124" s="21">
        <f t="shared" si="161"/>
        <v>2.1840000000000002</v>
      </c>
      <c r="CL124" s="55" t="s">
        <v>287</v>
      </c>
      <c r="CM124" s="55" t="s">
        <v>199</v>
      </c>
      <c r="CN124" s="60">
        <v>41432</v>
      </c>
      <c r="CO124" s="55" t="s">
        <v>288</v>
      </c>
      <c r="CP124" s="55"/>
      <c r="CQ124" s="55"/>
      <c r="CR124" s="55"/>
      <c r="CS124" s="55"/>
      <c r="CT124" s="55"/>
      <c r="CU124" s="55"/>
      <c r="CV124" s="55"/>
      <c r="CW124" s="55"/>
      <c r="CX124" s="55"/>
      <c r="CY124" s="21"/>
      <c r="CZ124" s="56">
        <v>4.43</v>
      </c>
      <c r="DA124" s="56">
        <v>9.68</v>
      </c>
      <c r="DB124" s="56">
        <v>8.35</v>
      </c>
      <c r="DC124" s="56">
        <v>3.35</v>
      </c>
      <c r="DD124" s="61">
        <f t="shared" si="125"/>
        <v>0.75620767494356667</v>
      </c>
      <c r="DE124" s="21">
        <f t="shared" si="126"/>
        <v>26.789575000000003</v>
      </c>
      <c r="DF124" s="55"/>
      <c r="DG124" s="55"/>
      <c r="DH124" s="55"/>
      <c r="DI124" s="55"/>
      <c r="DJ124" s="104"/>
      <c r="DK124" s="53"/>
      <c r="DM124" s="58">
        <f t="shared" si="108"/>
        <v>1211.0294528639999</v>
      </c>
      <c r="DN124" s="58">
        <v>927</v>
      </c>
      <c r="DO124" s="21">
        <v>0.77</v>
      </c>
      <c r="DP124" s="62">
        <v>1.0298</v>
      </c>
      <c r="DQ124" s="7">
        <v>0</v>
      </c>
      <c r="DR124" s="107">
        <f t="shared" si="111"/>
        <v>0</v>
      </c>
    </row>
    <row r="125" spans="1:122" ht="12.75" customHeight="1" x14ac:dyDescent="0.2">
      <c r="A125" s="53" t="s">
        <v>289</v>
      </c>
      <c r="B125" s="54">
        <v>2</v>
      </c>
      <c r="C125" s="92">
        <f t="shared" si="173"/>
        <v>121.15054544202708</v>
      </c>
      <c r="D125" s="92">
        <f t="shared" si="174"/>
        <v>113.44481721497174</v>
      </c>
      <c r="E125" s="92">
        <f>VLOOKUP(A125,[3]TRTOTAL!$A$7:$D$313,3,FALSE)</f>
        <v>121.15054544202708</v>
      </c>
      <c r="F125" s="92">
        <f>VLOOKUP(A125,[3]TRTOTAL!$A$7:$D$313,4,FALSE)</f>
        <v>113.44481721497174</v>
      </c>
      <c r="G125" s="92">
        <f t="shared" si="112"/>
        <v>0</v>
      </c>
      <c r="H125" s="92">
        <f t="shared" si="113"/>
        <v>0</v>
      </c>
      <c r="I125" s="54">
        <v>5.19</v>
      </c>
      <c r="J125" s="56">
        <v>5.18</v>
      </c>
      <c r="K125" s="54">
        <v>2.2999999999999998</v>
      </c>
      <c r="L125" s="57">
        <v>2</v>
      </c>
      <c r="M125" s="57">
        <v>142</v>
      </c>
      <c r="N125" s="57"/>
      <c r="O125" s="87" t="s">
        <v>133</v>
      </c>
      <c r="P125" s="24">
        <f t="shared" ref="P125:P153" si="175">marea+areaMast+mssam+mareNoDet</f>
        <v>13.32</v>
      </c>
      <c r="Q125" s="24">
        <f t="shared" ref="Q125:Q156" si="176">voorvlm1+voorllm2</f>
        <v>7.53</v>
      </c>
      <c r="R125" s="24">
        <f t="shared" ref="R125:R153" si="177">CI125</f>
        <v>3</v>
      </c>
      <c r="S125" s="87">
        <v>7.9</v>
      </c>
      <c r="T125" s="21">
        <f t="shared" ref="T125:T153" si="178">IF(gs_1,gs_1*0.94,VlgNoDetails)</f>
        <v>3.9</v>
      </c>
      <c r="U125" s="21"/>
      <c r="V125" s="24">
        <f t="shared" ref="V125:V153" si="179">IF(e_sp,e_sp,(IF(mfoot,MAX(CU125:CX125),IF(mainh1,mainh1,vlm*0.3))))</f>
        <v>2.2589999999999999</v>
      </c>
      <c r="W125" s="24">
        <f t="shared" ref="W125:W153" si="180">IF(circMast,circMast/2,0.16)+V125</f>
        <v>2.419</v>
      </c>
      <c r="X125" s="24">
        <f t="shared" ref="X125:X153" si="181">msam/e^2</f>
        <v>2.2763156702972078</v>
      </c>
      <c r="Y125" s="25">
        <f t="shared" si="128"/>
        <v>1</v>
      </c>
      <c r="Z125" s="24">
        <f t="shared" si="119"/>
        <v>11.422174059235466</v>
      </c>
      <c r="AA125" s="21">
        <f t="shared" ref="AA125:AA153" si="182">IF(lpg,msag/lpg^2,0)</f>
        <v>0</v>
      </c>
      <c r="AB125" s="24">
        <f t="shared" si="120"/>
        <v>2.7</v>
      </c>
      <c r="AC125" s="24">
        <f t="shared" si="142"/>
        <v>16.921174059235465</v>
      </c>
      <c r="AD125" s="58">
        <f t="shared" ref="AD125:AD153" si="183">IF(wsex,wsex,wsin-6)+crew*(IF(AND(crew=1,msam+msag&gt;=11),75,IF(loa&lt;=4,65,IF(loa&lt;=4.8,70,75))))</f>
        <v>292</v>
      </c>
      <c r="AE125" s="58">
        <f t="shared" ref="AE125:AE153" si="184">IF(wsin,wsin,wsex+6)+crew*(IF(AND(crew=1,msam+msag&gt;=11),75,IF(loa&lt;=4,65,IF(loa&lt;=4.8,70,75))))</f>
        <v>298</v>
      </c>
      <c r="AF125" s="21">
        <f t="shared" si="94"/>
        <v>3.15</v>
      </c>
      <c r="AG125" s="77">
        <f t="shared" si="95"/>
        <v>0</v>
      </c>
      <c r="AH125" s="114">
        <f t="shared" si="129"/>
        <v>1.04</v>
      </c>
      <c r="AI125" s="59">
        <f t="shared" si="96"/>
        <v>121.15054544202708</v>
      </c>
      <c r="AJ125" s="59">
        <f t="shared" si="97"/>
        <v>113.44481721497174</v>
      </c>
      <c r="AK125" s="55"/>
      <c r="AL125" s="55"/>
      <c r="AM125" s="21">
        <f t="shared" ref="AM125:AM153" si="185">AK125*AL125*0.5</f>
        <v>0</v>
      </c>
      <c r="AN125" s="54">
        <v>7.53</v>
      </c>
      <c r="AO125" s="55"/>
      <c r="AP125" s="21">
        <f t="shared" ref="AP125:AP172" si="186">AN125*AO125*2/3</f>
        <v>0</v>
      </c>
      <c r="AQ125" s="55"/>
      <c r="AR125" s="55"/>
      <c r="AS125" s="21">
        <f t="shared" ref="AS125:AS172" si="187">AQ125*AR125*2/3</f>
        <v>0</v>
      </c>
      <c r="AT125" s="54"/>
      <c r="AU125" s="54"/>
      <c r="AV125" s="21">
        <f t="shared" ref="AV125:AV172" si="188">AT125*AU125*0.5</f>
        <v>0</v>
      </c>
      <c r="AW125" s="54"/>
      <c r="AX125" s="54"/>
      <c r="AY125" s="21">
        <f t="shared" ref="AY125:AY172" si="189">AW125*AX125*0.5</f>
        <v>0</v>
      </c>
      <c r="AZ125" s="54"/>
      <c r="BA125" s="54"/>
      <c r="BB125" s="21">
        <f t="shared" ref="BB125:BB172" si="190">AZ125*BA125*2/3</f>
        <v>0</v>
      </c>
      <c r="BC125" s="54"/>
      <c r="BD125" s="54"/>
      <c r="BE125" s="21">
        <f t="shared" ref="BE125:BE172" si="191">BC125*BD125*2/3</f>
        <v>0</v>
      </c>
      <c r="BF125" s="55"/>
      <c r="BG125" s="55"/>
      <c r="BH125" s="21">
        <f t="shared" ref="BH125:BH172" si="192">BF125*BG125*0.5</f>
        <v>0</v>
      </c>
      <c r="BI125" s="55"/>
      <c r="BJ125" s="55"/>
      <c r="BK125" s="21">
        <f t="shared" ref="BK125:BK172" si="193">BI125*BJ125*2/3</f>
        <v>0</v>
      </c>
      <c r="BL125" s="55"/>
      <c r="BM125" s="55"/>
      <c r="BN125" s="21">
        <f t="shared" ref="BN125:BN172" si="194">BL125*BM125*0.5</f>
        <v>0</v>
      </c>
      <c r="BO125" s="55"/>
      <c r="BP125" s="55"/>
      <c r="BQ125" s="21">
        <f t="shared" ref="BQ125:BQ172" si="195">BO125*BP125*0.5</f>
        <v>0</v>
      </c>
      <c r="BR125" s="55"/>
      <c r="BS125" s="21">
        <f t="shared" ref="BS125:BS153" si="196">AM125+AP125+AS125+AV125+AY125+BB125+BE125+BH125+BK125+BN125+BQ125</f>
        <v>0</v>
      </c>
      <c r="BT125" s="56">
        <v>0</v>
      </c>
      <c r="BU125" s="56"/>
      <c r="BV125" s="21">
        <f t="shared" ref="BV125:BV153" si="197">BT125*BU125*0.5</f>
        <v>0</v>
      </c>
      <c r="BW125" s="77">
        <f t="shared" si="121"/>
        <v>0</v>
      </c>
      <c r="BX125" s="55"/>
      <c r="BY125" s="21">
        <f t="shared" ref="BY125:BY153" si="198">BW125*BX125*2/3</f>
        <v>0</v>
      </c>
      <c r="BZ125" s="55"/>
      <c r="CA125" s="55"/>
      <c r="CB125" s="21">
        <f t="shared" ref="CB125:CB145" si="199">BZ125*CA125*2/3</f>
        <v>0</v>
      </c>
      <c r="CC125" s="55"/>
      <c r="CD125" s="55"/>
      <c r="CE125" s="21">
        <f t="shared" ref="CE125:CE145" si="200">CC125*CD125*2/3</f>
        <v>0</v>
      </c>
      <c r="CF125" s="21"/>
      <c r="CG125" s="21"/>
      <c r="CH125" s="21">
        <f t="shared" si="122"/>
        <v>0</v>
      </c>
      <c r="CI125" s="25">
        <f t="shared" si="123"/>
        <v>3</v>
      </c>
      <c r="CJ125" s="54"/>
      <c r="CK125" s="21">
        <f t="shared" si="161"/>
        <v>0</v>
      </c>
      <c r="CL125" s="55"/>
      <c r="CM125" s="55"/>
      <c r="CN125" s="60"/>
      <c r="CO125" s="55"/>
      <c r="CP125" s="55"/>
      <c r="CQ125" s="55"/>
      <c r="CR125" s="55"/>
      <c r="CS125" s="55"/>
      <c r="CT125" s="55"/>
      <c r="CU125" s="55"/>
      <c r="CV125" s="55"/>
      <c r="CW125" s="55"/>
      <c r="CX125" s="55"/>
      <c r="CY125" s="21">
        <f t="shared" ref="CY125:CY153" si="201">(CT125+4*CU125+2*CV125+4*CW125+CX125)*AN125/12</f>
        <v>0</v>
      </c>
      <c r="CZ125" s="56"/>
      <c r="DA125" s="56"/>
      <c r="DB125" s="56"/>
      <c r="DC125" s="56"/>
      <c r="DD125" s="61">
        <f t="shared" si="125"/>
        <v>0</v>
      </c>
      <c r="DE125" s="21">
        <f t="shared" si="126"/>
        <v>0</v>
      </c>
      <c r="DF125" s="55">
        <v>13.32</v>
      </c>
      <c r="DG125" s="55">
        <v>3</v>
      </c>
      <c r="DH125" s="55">
        <v>3.9</v>
      </c>
      <c r="DI125" s="55"/>
      <c r="DJ125" s="104"/>
      <c r="DK125" s="53"/>
      <c r="DM125" s="58">
        <f t="shared" si="108"/>
        <v>604.60555954175982</v>
      </c>
      <c r="DN125" s="58">
        <f t="shared" ref="DN125:DN153" si="202">IF(wsex,0.5*wsex*width+(rwex-wsex)*width+trapeze*(rwex-wsex)/crew,0.5*(wsin-6)*width+(rwin-wsin)*width+trapeze*(rwin-wsin)/crew)</f>
        <v>658.3</v>
      </c>
      <c r="DO125" s="21">
        <f t="shared" ref="DO125:DO153" si="203">righting/heeling</f>
        <v>1.0888090418800251</v>
      </c>
      <c r="DP125" s="62">
        <f t="shared" ref="DP125:DP153" si="204">IF((1/DO125)^$DP$5&lt;1,1,(1/DO125)^$DP$5)</f>
        <v>1</v>
      </c>
      <c r="DQ125" s="7">
        <v>0</v>
      </c>
      <c r="DR125" s="107">
        <f t="shared" si="111"/>
        <v>0</v>
      </c>
    </row>
    <row r="126" spans="1:122" ht="12.75" customHeight="1" x14ac:dyDescent="0.2">
      <c r="A126" s="53" t="s">
        <v>290</v>
      </c>
      <c r="B126" s="54">
        <v>2</v>
      </c>
      <c r="C126" s="92">
        <f t="shared" si="173"/>
        <v>104.34078404911891</v>
      </c>
      <c r="D126" s="92">
        <f t="shared" si="174"/>
        <v>99.922063253373238</v>
      </c>
      <c r="E126" s="92">
        <f>VLOOKUP(A126,[3]TRTOTAL!$A$7:$D$313,3,FALSE)</f>
        <v>104.91742812487391</v>
      </c>
      <c r="F126" s="92">
        <f>VLOOKUP(A126,[3]TRTOTAL!$A$7:$D$313,4,FALSE)</f>
        <v>100.33161247468</v>
      </c>
      <c r="G126" s="92">
        <f t="shared" si="112"/>
        <v>-0.57664407575499865</v>
      </c>
      <c r="H126" s="92">
        <f t="shared" si="113"/>
        <v>-0.40954922130676152</v>
      </c>
      <c r="I126" s="54">
        <v>5.52</v>
      </c>
      <c r="J126" s="56">
        <v>5.52</v>
      </c>
      <c r="K126" s="54">
        <v>2.6</v>
      </c>
      <c r="L126" s="57">
        <v>2</v>
      </c>
      <c r="M126" s="57"/>
      <c r="N126" s="57">
        <v>180</v>
      </c>
      <c r="O126" s="87"/>
      <c r="P126" s="24">
        <f t="shared" si="175"/>
        <v>17</v>
      </c>
      <c r="Q126" s="24">
        <f t="shared" si="176"/>
        <v>9.0500000000000007</v>
      </c>
      <c r="R126" s="24">
        <f t="shared" si="177"/>
        <v>4.3</v>
      </c>
      <c r="S126" s="87">
        <v>9.0500000000000007</v>
      </c>
      <c r="T126" s="21">
        <f t="shared" si="178"/>
        <v>5.5</v>
      </c>
      <c r="U126" s="21">
        <v>2.1</v>
      </c>
      <c r="V126" s="24">
        <f t="shared" si="179"/>
        <v>2.1</v>
      </c>
      <c r="W126" s="24">
        <f t="shared" si="180"/>
        <v>2.2600000000000002</v>
      </c>
      <c r="X126" s="24">
        <f t="shared" si="181"/>
        <v>3.3283734043386315</v>
      </c>
      <c r="Y126" s="25">
        <f t="shared" si="128"/>
        <v>1</v>
      </c>
      <c r="Z126" s="24">
        <f t="shared" si="119"/>
        <v>16.337791034816128</v>
      </c>
      <c r="AA126" s="21">
        <f t="shared" si="182"/>
        <v>0</v>
      </c>
      <c r="AB126" s="24">
        <f t="shared" si="120"/>
        <v>3.87</v>
      </c>
      <c r="AC126" s="24">
        <f t="shared" si="142"/>
        <v>22.854691034816128</v>
      </c>
      <c r="AD126" s="58">
        <f t="shared" si="183"/>
        <v>324</v>
      </c>
      <c r="AE126" s="58">
        <f t="shared" si="184"/>
        <v>330</v>
      </c>
      <c r="AF126" s="21">
        <f t="shared" si="94"/>
        <v>3.15</v>
      </c>
      <c r="AG126" s="77">
        <f t="shared" si="95"/>
        <v>0</v>
      </c>
      <c r="AH126" s="114">
        <f t="shared" si="129"/>
        <v>1</v>
      </c>
      <c r="AI126" s="59">
        <f t="shared" si="96"/>
        <v>102.43303194979761</v>
      </c>
      <c r="AJ126" s="59">
        <f t="shared" si="97"/>
        <v>98.095102418476685</v>
      </c>
      <c r="AK126" s="55"/>
      <c r="AL126" s="55"/>
      <c r="AM126" s="21">
        <f t="shared" si="185"/>
        <v>0</v>
      </c>
      <c r="AN126" s="54">
        <v>9.0500000000000007</v>
      </c>
      <c r="AO126" s="55"/>
      <c r="AP126" s="21">
        <f t="shared" si="186"/>
        <v>0</v>
      </c>
      <c r="AQ126" s="55"/>
      <c r="AR126" s="55"/>
      <c r="AS126" s="21">
        <f t="shared" si="187"/>
        <v>0</v>
      </c>
      <c r="AT126" s="54"/>
      <c r="AU126" s="54"/>
      <c r="AV126" s="21">
        <f t="shared" si="188"/>
        <v>0</v>
      </c>
      <c r="AW126" s="54"/>
      <c r="AX126" s="54"/>
      <c r="AY126" s="21">
        <f t="shared" si="189"/>
        <v>0</v>
      </c>
      <c r="AZ126" s="54"/>
      <c r="BA126" s="54"/>
      <c r="BB126" s="21">
        <f t="shared" si="190"/>
        <v>0</v>
      </c>
      <c r="BC126" s="54"/>
      <c r="BD126" s="54"/>
      <c r="BE126" s="21">
        <f t="shared" si="191"/>
        <v>0</v>
      </c>
      <c r="BF126" s="55"/>
      <c r="BG126" s="55"/>
      <c r="BH126" s="21">
        <f t="shared" si="192"/>
        <v>0</v>
      </c>
      <c r="BI126" s="55"/>
      <c r="BJ126" s="55"/>
      <c r="BK126" s="21">
        <f t="shared" si="193"/>
        <v>0</v>
      </c>
      <c r="BL126" s="55"/>
      <c r="BM126" s="55"/>
      <c r="BN126" s="21">
        <f t="shared" si="194"/>
        <v>0</v>
      </c>
      <c r="BO126" s="55"/>
      <c r="BP126" s="55"/>
      <c r="BQ126" s="21">
        <f t="shared" si="195"/>
        <v>0</v>
      </c>
      <c r="BR126" s="55"/>
      <c r="BS126" s="21">
        <f t="shared" si="196"/>
        <v>0</v>
      </c>
      <c r="BT126" s="56">
        <v>0</v>
      </c>
      <c r="BU126" s="56"/>
      <c r="BV126" s="21">
        <f t="shared" si="197"/>
        <v>0</v>
      </c>
      <c r="BW126" s="77">
        <f t="shared" si="121"/>
        <v>0</v>
      </c>
      <c r="BX126" s="55"/>
      <c r="BY126" s="21">
        <f t="shared" si="198"/>
        <v>0</v>
      </c>
      <c r="BZ126" s="55"/>
      <c r="CA126" s="55"/>
      <c r="CB126" s="21">
        <f t="shared" si="199"/>
        <v>0</v>
      </c>
      <c r="CC126" s="54"/>
      <c r="CD126" s="54"/>
      <c r="CE126" s="21">
        <f t="shared" si="200"/>
        <v>0</v>
      </c>
      <c r="CF126" s="21"/>
      <c r="CG126" s="21"/>
      <c r="CH126" s="21">
        <f t="shared" si="122"/>
        <v>0</v>
      </c>
      <c r="CI126" s="25">
        <f t="shared" si="123"/>
        <v>4.3</v>
      </c>
      <c r="CJ126" s="54"/>
      <c r="CK126" s="21">
        <f t="shared" si="161"/>
        <v>0</v>
      </c>
      <c r="CL126" s="55"/>
      <c r="CM126" s="55"/>
      <c r="CN126" s="60"/>
      <c r="CO126" s="55"/>
      <c r="CP126" s="55"/>
      <c r="CQ126" s="55"/>
      <c r="CR126" s="55"/>
      <c r="CS126" s="55"/>
      <c r="CT126" s="55"/>
      <c r="CU126" s="55"/>
      <c r="CV126" s="55"/>
      <c r="CW126" s="55"/>
      <c r="CX126" s="55"/>
      <c r="CY126" s="21">
        <f t="shared" si="201"/>
        <v>0</v>
      </c>
      <c r="CZ126" s="56"/>
      <c r="DA126" s="56"/>
      <c r="DB126" s="56"/>
      <c r="DC126" s="56"/>
      <c r="DD126" s="61">
        <f t="shared" si="125"/>
        <v>0</v>
      </c>
      <c r="DE126" s="21">
        <f t="shared" si="126"/>
        <v>0</v>
      </c>
      <c r="DF126" s="55">
        <v>17</v>
      </c>
      <c r="DG126" s="55">
        <v>4.3</v>
      </c>
      <c r="DH126" s="55">
        <v>5.5</v>
      </c>
      <c r="DI126" s="55"/>
      <c r="DJ126" s="104"/>
      <c r="DK126" s="53"/>
      <c r="DM126" s="58">
        <f t="shared" ref="DM126:DM185" si="205">((0.42*vlm+IF(Decksweeper="yes",0.98,1))*msam+(0.33*vlg+1)*msag)*DynPress</f>
        <v>906.14419392000002</v>
      </c>
      <c r="DN126" s="58">
        <f t="shared" si="202"/>
        <v>766.2</v>
      </c>
      <c r="DO126" s="21">
        <f t="shared" si="203"/>
        <v>0.8455607894869378</v>
      </c>
      <c r="DP126" s="62">
        <f t="shared" si="204"/>
        <v>1.0186243837852647</v>
      </c>
      <c r="DQ126" s="7">
        <v>0</v>
      </c>
      <c r="DR126" s="107" t="str">
        <f t="shared" ref="DR126:DR185" si="206">IF((vlm/MastLength)&gt;0.99,"yes",0)</f>
        <v>yes</v>
      </c>
    </row>
    <row r="127" spans="1:122" ht="12.75" customHeight="1" x14ac:dyDescent="0.2">
      <c r="A127" s="53" t="s">
        <v>291</v>
      </c>
      <c r="B127" s="54">
        <v>2</v>
      </c>
      <c r="C127" s="92">
        <f t="shared" si="173"/>
        <v>113.14913294325839</v>
      </c>
      <c r="D127" s="92">
        <f t="shared" si="174"/>
        <v>107.68138359081618</v>
      </c>
      <c r="E127" s="92">
        <f>VLOOKUP(A127,[3]TRTOTAL!$A$7:$D$313,3,FALSE)</f>
        <v>113.14913294325839</v>
      </c>
      <c r="F127" s="92">
        <f>VLOOKUP(A127,[3]TRTOTAL!$A$7:$D$313,4,FALSE)</f>
        <v>107.68138359081618</v>
      </c>
      <c r="G127" s="92">
        <f t="shared" si="112"/>
        <v>0</v>
      </c>
      <c r="H127" s="92">
        <f t="shared" si="113"/>
        <v>0</v>
      </c>
      <c r="I127" s="54">
        <v>5.18</v>
      </c>
      <c r="J127" s="56">
        <v>5.15</v>
      </c>
      <c r="K127" s="54">
        <v>2.4</v>
      </c>
      <c r="L127" s="57">
        <v>2</v>
      </c>
      <c r="M127" s="57">
        <v>172</v>
      </c>
      <c r="N127" s="57"/>
      <c r="O127" s="87" t="s">
        <v>133</v>
      </c>
      <c r="P127" s="24">
        <f t="shared" si="175"/>
        <v>16.5</v>
      </c>
      <c r="Q127" s="24">
        <f t="shared" si="176"/>
        <v>8</v>
      </c>
      <c r="R127" s="24">
        <f t="shared" si="177"/>
        <v>3.2</v>
      </c>
      <c r="S127" s="87">
        <v>8.5</v>
      </c>
      <c r="T127" s="21">
        <f t="shared" si="178"/>
        <v>4.8029999999999999</v>
      </c>
      <c r="U127" s="21"/>
      <c r="V127" s="24">
        <f t="shared" si="179"/>
        <v>2.09</v>
      </c>
      <c r="W127" s="24">
        <f t="shared" si="180"/>
        <v>2.25</v>
      </c>
      <c r="X127" s="24">
        <f t="shared" si="181"/>
        <v>3.2592592592592591</v>
      </c>
      <c r="Y127" s="25">
        <f t="shared" si="128"/>
        <v>1</v>
      </c>
      <c r="Z127" s="24">
        <f t="shared" si="119"/>
        <v>15.757757738812694</v>
      </c>
      <c r="AA127" s="21">
        <f t="shared" si="182"/>
        <v>0</v>
      </c>
      <c r="AB127" s="24">
        <f t="shared" si="120"/>
        <v>2.8800000000000003</v>
      </c>
      <c r="AC127" s="24">
        <f t="shared" si="142"/>
        <v>21.413357738812696</v>
      </c>
      <c r="AD127" s="58">
        <f t="shared" si="183"/>
        <v>322</v>
      </c>
      <c r="AE127" s="58">
        <f t="shared" si="184"/>
        <v>328</v>
      </c>
      <c r="AF127" s="21">
        <f t="shared" si="94"/>
        <v>3.15</v>
      </c>
      <c r="AG127" s="77">
        <f t="shared" si="95"/>
        <v>0</v>
      </c>
      <c r="AH127" s="114">
        <f t="shared" si="129"/>
        <v>1.04</v>
      </c>
      <c r="AI127" s="59">
        <f t="shared" si="96"/>
        <v>112.12153210258107</v>
      </c>
      <c r="AJ127" s="59">
        <f t="shared" si="97"/>
        <v>106.70343990335806</v>
      </c>
      <c r="AK127" s="55"/>
      <c r="AL127" s="55">
        <v>2.09</v>
      </c>
      <c r="AM127" s="21">
        <f t="shared" si="185"/>
        <v>0</v>
      </c>
      <c r="AN127" s="54">
        <v>8</v>
      </c>
      <c r="AO127" s="55"/>
      <c r="AP127" s="21">
        <f t="shared" si="186"/>
        <v>0</v>
      </c>
      <c r="AQ127" s="55"/>
      <c r="AR127" s="55"/>
      <c r="AS127" s="21">
        <f t="shared" si="187"/>
        <v>0</v>
      </c>
      <c r="AT127" s="54"/>
      <c r="AU127" s="54"/>
      <c r="AV127" s="21">
        <f t="shared" si="188"/>
        <v>0</v>
      </c>
      <c r="AW127" s="54"/>
      <c r="AX127" s="54"/>
      <c r="AY127" s="21">
        <f t="shared" si="189"/>
        <v>0</v>
      </c>
      <c r="AZ127" s="54"/>
      <c r="BA127" s="54"/>
      <c r="BB127" s="21">
        <f t="shared" si="190"/>
        <v>0</v>
      </c>
      <c r="BC127" s="54"/>
      <c r="BD127" s="54"/>
      <c r="BE127" s="21">
        <f t="shared" si="191"/>
        <v>0</v>
      </c>
      <c r="BF127" s="55"/>
      <c r="BG127" s="55"/>
      <c r="BH127" s="21">
        <f t="shared" si="192"/>
        <v>0</v>
      </c>
      <c r="BI127" s="55"/>
      <c r="BJ127" s="55"/>
      <c r="BK127" s="21">
        <f t="shared" si="193"/>
        <v>0</v>
      </c>
      <c r="BL127" s="55"/>
      <c r="BM127" s="55"/>
      <c r="BN127" s="21">
        <f t="shared" si="194"/>
        <v>0</v>
      </c>
      <c r="BO127" s="55"/>
      <c r="BP127" s="55"/>
      <c r="BQ127" s="21">
        <f t="shared" si="195"/>
        <v>0</v>
      </c>
      <c r="BR127" s="55"/>
      <c r="BS127" s="21">
        <f t="shared" si="196"/>
        <v>0</v>
      </c>
      <c r="BT127" s="56"/>
      <c r="BU127" s="56"/>
      <c r="BV127" s="21">
        <f t="shared" si="197"/>
        <v>0</v>
      </c>
      <c r="BW127" s="77">
        <f t="shared" si="121"/>
        <v>0</v>
      </c>
      <c r="BX127" s="55"/>
      <c r="BY127" s="21">
        <f t="shared" si="198"/>
        <v>0</v>
      </c>
      <c r="BZ127" s="55"/>
      <c r="CA127" s="55"/>
      <c r="CB127" s="21">
        <f t="shared" si="199"/>
        <v>0</v>
      </c>
      <c r="CC127" s="54"/>
      <c r="CD127" s="54"/>
      <c r="CE127" s="21">
        <f t="shared" si="200"/>
        <v>0</v>
      </c>
      <c r="CF127" s="21"/>
      <c r="CG127" s="21"/>
      <c r="CH127" s="21">
        <f t="shared" si="122"/>
        <v>0</v>
      </c>
      <c r="CI127" s="25">
        <f t="shared" si="123"/>
        <v>3.2</v>
      </c>
      <c r="CJ127" s="54"/>
      <c r="CK127" s="21">
        <f t="shared" si="161"/>
        <v>0</v>
      </c>
      <c r="CL127" s="55"/>
      <c r="CM127" s="55"/>
      <c r="CN127" s="60"/>
      <c r="CO127" s="55" t="s">
        <v>517</v>
      </c>
      <c r="CP127" s="55"/>
      <c r="CQ127" s="55"/>
      <c r="CR127" s="55"/>
      <c r="CS127" s="55"/>
      <c r="CT127" s="55"/>
      <c r="CU127" s="55"/>
      <c r="CV127" s="55"/>
      <c r="CW127" s="55"/>
      <c r="CX127" s="55"/>
      <c r="CY127" s="21">
        <f t="shared" si="201"/>
        <v>0</v>
      </c>
      <c r="CZ127" s="56"/>
      <c r="DA127" s="56"/>
      <c r="DB127" s="56"/>
      <c r="DC127" s="56"/>
      <c r="DD127" s="61">
        <f t="shared" si="125"/>
        <v>0</v>
      </c>
      <c r="DE127" s="21">
        <f t="shared" si="126"/>
        <v>0</v>
      </c>
      <c r="DF127" s="55">
        <v>16.5</v>
      </c>
      <c r="DG127" s="55">
        <v>3.2</v>
      </c>
      <c r="DH127" s="55">
        <v>4.8029999999999999</v>
      </c>
      <c r="DI127" s="55"/>
      <c r="DJ127" s="104"/>
      <c r="DK127" s="53"/>
      <c r="DM127" s="58">
        <f t="shared" si="205"/>
        <v>778.35126964223991</v>
      </c>
      <c r="DN127" s="58">
        <f t="shared" si="202"/>
        <v>716.4</v>
      </c>
      <c r="DO127" s="21">
        <f t="shared" si="203"/>
        <v>0.92040705519666577</v>
      </c>
      <c r="DP127" s="62">
        <f t="shared" si="204"/>
        <v>1.0091650624229533</v>
      </c>
      <c r="DQ127" s="7" t="s">
        <v>130</v>
      </c>
      <c r="DR127" s="107">
        <f t="shared" si="206"/>
        <v>0</v>
      </c>
    </row>
    <row r="128" spans="1:122" ht="12.75" customHeight="1" x14ac:dyDescent="0.2">
      <c r="A128" s="53" t="s">
        <v>292</v>
      </c>
      <c r="B128" s="54">
        <v>1</v>
      </c>
      <c r="C128" s="92">
        <f t="shared" si="173"/>
        <v>98.556649953777608</v>
      </c>
      <c r="D128" s="92">
        <f t="shared" si="174"/>
        <v>95.21183789586469</v>
      </c>
      <c r="E128" s="92">
        <f>VLOOKUP(A128,[3]TRTOTAL!$A$7:$D$313,3,FALSE)</f>
        <v>98.556649953777608</v>
      </c>
      <c r="F128" s="92">
        <f>VLOOKUP(A128,[3]TRTOTAL!$A$7:$D$313,4,FALSE)</f>
        <v>95.21183789586469</v>
      </c>
      <c r="G128" s="92">
        <f t="shared" si="112"/>
        <v>0</v>
      </c>
      <c r="H128" s="92">
        <f t="shared" si="113"/>
        <v>0</v>
      </c>
      <c r="I128" s="54">
        <v>5.45</v>
      </c>
      <c r="J128" s="56">
        <v>5.4349999999999996</v>
      </c>
      <c r="K128" s="54">
        <v>2.5</v>
      </c>
      <c r="L128" s="57">
        <v>1</v>
      </c>
      <c r="M128" s="57">
        <v>78</v>
      </c>
      <c r="N128" s="57"/>
      <c r="O128" s="87"/>
      <c r="P128" s="24">
        <f t="shared" si="175"/>
        <v>15.198449999999998</v>
      </c>
      <c r="Q128" s="24">
        <f t="shared" si="176"/>
        <v>8.93</v>
      </c>
      <c r="R128" s="24">
        <f t="shared" si="177"/>
        <v>0</v>
      </c>
      <c r="S128" s="87">
        <v>9.3000000000000007</v>
      </c>
      <c r="T128" s="21">
        <f t="shared" si="178"/>
        <v>0</v>
      </c>
      <c r="U128" s="21"/>
      <c r="V128" s="24">
        <f t="shared" si="179"/>
        <v>1.94</v>
      </c>
      <c r="W128" s="24">
        <f t="shared" si="180"/>
        <v>2.1149999999999998</v>
      </c>
      <c r="X128" s="24">
        <f t="shared" si="181"/>
        <v>3.3976493469476718</v>
      </c>
      <c r="Y128" s="25">
        <f t="shared" si="128"/>
        <v>1</v>
      </c>
      <c r="Z128" s="24">
        <f t="shared" si="119"/>
        <v>14.696965289228375</v>
      </c>
      <c r="AA128" s="21">
        <f t="shared" si="182"/>
        <v>0</v>
      </c>
      <c r="AB128" s="24">
        <f t="shared" si="120"/>
        <v>0</v>
      </c>
      <c r="AC128" s="24">
        <f t="shared" si="142"/>
        <v>16.946965289228373</v>
      </c>
      <c r="AD128" s="58">
        <f t="shared" si="183"/>
        <v>153</v>
      </c>
      <c r="AE128" s="58">
        <f t="shared" si="184"/>
        <v>159</v>
      </c>
      <c r="AF128" s="21">
        <f t="shared" si="94"/>
        <v>2.25</v>
      </c>
      <c r="AG128" s="77">
        <f t="shared" si="95"/>
        <v>0</v>
      </c>
      <c r="AH128" s="114">
        <f t="shared" si="129"/>
        <v>1</v>
      </c>
      <c r="AI128" s="59">
        <f t="shared" si="96"/>
        <v>91.595880692997099</v>
      </c>
      <c r="AJ128" s="59">
        <f t="shared" si="97"/>
        <v>87.61119106244432</v>
      </c>
      <c r="AK128" s="55">
        <v>8.93</v>
      </c>
      <c r="AL128" s="55">
        <v>1.94</v>
      </c>
      <c r="AM128" s="21">
        <f t="shared" si="185"/>
        <v>8.6620999999999988</v>
      </c>
      <c r="AN128" s="54">
        <v>8.93</v>
      </c>
      <c r="AO128" s="55">
        <v>0.12</v>
      </c>
      <c r="AP128" s="21">
        <f t="shared" si="186"/>
        <v>0.71439999999999992</v>
      </c>
      <c r="AQ128" s="55"/>
      <c r="AR128" s="55">
        <v>0</v>
      </c>
      <c r="AS128" s="21">
        <f t="shared" si="187"/>
        <v>0</v>
      </c>
      <c r="AT128" s="54">
        <v>8.6</v>
      </c>
      <c r="AU128" s="54">
        <v>0.63</v>
      </c>
      <c r="AV128" s="21">
        <f t="shared" si="188"/>
        <v>2.7090000000000001</v>
      </c>
      <c r="AW128" s="54"/>
      <c r="AX128" s="54"/>
      <c r="AY128" s="21">
        <f t="shared" si="189"/>
        <v>0</v>
      </c>
      <c r="AZ128" s="54">
        <v>8.3699999999999992</v>
      </c>
      <c r="BA128" s="54">
        <v>0.25</v>
      </c>
      <c r="BB128" s="21">
        <f t="shared" si="190"/>
        <v>1.3949999999999998</v>
      </c>
      <c r="BC128" s="54"/>
      <c r="BD128" s="54"/>
      <c r="BE128" s="21">
        <f t="shared" si="191"/>
        <v>0</v>
      </c>
      <c r="BF128" s="55">
        <v>2.0099999999999998</v>
      </c>
      <c r="BG128" s="55">
        <v>0.09</v>
      </c>
      <c r="BH128" s="21">
        <f t="shared" si="192"/>
        <v>9.0449999999999989E-2</v>
      </c>
      <c r="BI128" s="55"/>
      <c r="BJ128" s="55"/>
      <c r="BK128" s="21">
        <f t="shared" si="193"/>
        <v>0</v>
      </c>
      <c r="BL128" s="55"/>
      <c r="BM128" s="55"/>
      <c r="BN128" s="21">
        <f t="shared" si="194"/>
        <v>0</v>
      </c>
      <c r="BO128" s="55"/>
      <c r="BP128" s="55"/>
      <c r="BQ128" s="21">
        <f t="shared" si="195"/>
        <v>0</v>
      </c>
      <c r="BR128" s="55"/>
      <c r="BS128" s="21">
        <f t="shared" si="196"/>
        <v>13.570949999999998</v>
      </c>
      <c r="BT128" s="56">
        <v>0</v>
      </c>
      <c r="BU128" s="56"/>
      <c r="BV128" s="21">
        <f t="shared" si="197"/>
        <v>0</v>
      </c>
      <c r="BW128" s="77">
        <f t="shared" si="121"/>
        <v>0</v>
      </c>
      <c r="BX128" s="55"/>
      <c r="BY128" s="21">
        <f t="shared" si="198"/>
        <v>0</v>
      </c>
      <c r="BZ128" s="55"/>
      <c r="CA128" s="55"/>
      <c r="CB128" s="21">
        <f t="shared" si="199"/>
        <v>0</v>
      </c>
      <c r="CC128" s="55"/>
      <c r="CD128" s="55"/>
      <c r="CE128" s="21">
        <f t="shared" si="200"/>
        <v>0</v>
      </c>
      <c r="CF128" s="21"/>
      <c r="CG128" s="21"/>
      <c r="CH128" s="21">
        <f t="shared" si="122"/>
        <v>0</v>
      </c>
      <c r="CI128" s="25">
        <f t="shared" si="123"/>
        <v>0</v>
      </c>
      <c r="CJ128" s="54">
        <v>0.35</v>
      </c>
      <c r="CK128" s="21">
        <f t="shared" si="161"/>
        <v>1.6274999999999999</v>
      </c>
      <c r="CL128" s="55">
        <v>20</v>
      </c>
      <c r="CM128" s="55" t="s">
        <v>293</v>
      </c>
      <c r="CN128" s="60">
        <v>36699</v>
      </c>
      <c r="CO128" s="55" t="s">
        <v>271</v>
      </c>
      <c r="CP128" s="55"/>
      <c r="CQ128" s="55"/>
      <c r="CR128" s="55"/>
      <c r="CS128" s="55"/>
      <c r="CT128" s="55"/>
      <c r="CU128" s="55"/>
      <c r="CV128" s="55"/>
      <c r="CW128" s="55"/>
      <c r="CX128" s="55"/>
      <c r="CY128" s="21">
        <f t="shared" si="201"/>
        <v>0</v>
      </c>
      <c r="CZ128" s="56"/>
      <c r="DA128" s="56"/>
      <c r="DB128" s="56"/>
      <c r="DC128" s="56"/>
      <c r="DD128" s="61">
        <f t="shared" si="125"/>
        <v>0</v>
      </c>
      <c r="DE128" s="21">
        <f t="shared" si="126"/>
        <v>15</v>
      </c>
      <c r="DF128" s="55"/>
      <c r="DG128" s="55"/>
      <c r="DH128" s="55"/>
      <c r="DI128" s="55">
        <v>15</v>
      </c>
      <c r="DJ128" s="104"/>
      <c r="DK128" s="53"/>
      <c r="DM128" s="58">
        <f t="shared" si="205"/>
        <v>700.62274119317749</v>
      </c>
      <c r="DN128" s="58">
        <f t="shared" si="202"/>
        <v>360</v>
      </c>
      <c r="DO128" s="21">
        <f t="shared" si="203"/>
        <v>0.51382859680933468</v>
      </c>
      <c r="DP128" s="62">
        <f t="shared" si="204"/>
        <v>1.0759943483060226</v>
      </c>
      <c r="DQ128" s="7">
        <v>0</v>
      </c>
      <c r="DR128" s="107">
        <f t="shared" si="206"/>
        <v>0</v>
      </c>
    </row>
    <row r="129" spans="1:122" ht="12.75" customHeight="1" x14ac:dyDescent="0.2">
      <c r="A129" s="53" t="s">
        <v>294</v>
      </c>
      <c r="B129" s="54">
        <v>2</v>
      </c>
      <c r="C129" s="92">
        <f t="shared" si="173"/>
        <v>97.709749614362636</v>
      </c>
      <c r="D129" s="92">
        <f t="shared" si="174"/>
        <v>92.01391410281515</v>
      </c>
      <c r="E129" s="92">
        <f>VLOOKUP(A129,[3]TRTOTAL!$A$7:$D$313,3,FALSE)</f>
        <v>97.709749614362636</v>
      </c>
      <c r="F129" s="92">
        <f>VLOOKUP(A129,[3]TRTOTAL!$A$7:$D$313,4,FALSE)</f>
        <v>92.01391410281515</v>
      </c>
      <c r="G129" s="92">
        <f t="shared" si="112"/>
        <v>0</v>
      </c>
      <c r="H129" s="92">
        <f t="shared" si="113"/>
        <v>0</v>
      </c>
      <c r="I129" s="54">
        <v>6.07</v>
      </c>
      <c r="J129" s="56">
        <v>6.06</v>
      </c>
      <c r="K129" s="54">
        <v>2.92</v>
      </c>
      <c r="L129" s="57">
        <v>2</v>
      </c>
      <c r="M129" s="57"/>
      <c r="N129" s="57">
        <v>125</v>
      </c>
      <c r="O129" s="87"/>
      <c r="P129" s="24">
        <f t="shared" si="175"/>
        <v>20.754966666666668</v>
      </c>
      <c r="Q129" s="24">
        <f t="shared" si="176"/>
        <v>10.25</v>
      </c>
      <c r="R129" s="24">
        <f t="shared" si="177"/>
        <v>0</v>
      </c>
      <c r="S129" s="87">
        <v>10.5</v>
      </c>
      <c r="T129" s="21">
        <f t="shared" si="178"/>
        <v>0</v>
      </c>
      <c r="U129" s="21"/>
      <c r="V129" s="24">
        <f t="shared" si="179"/>
        <v>2.31</v>
      </c>
      <c r="W129" s="24">
        <f t="shared" si="180"/>
        <v>2.4849999999999999</v>
      </c>
      <c r="X129" s="24">
        <f t="shared" si="181"/>
        <v>3.3610057393320356</v>
      </c>
      <c r="Y129" s="25">
        <f t="shared" si="128"/>
        <v>1</v>
      </c>
      <c r="Z129" s="24">
        <f t="shared" si="119"/>
        <v>20.004956858644466</v>
      </c>
      <c r="AA129" s="21">
        <f t="shared" si="182"/>
        <v>0</v>
      </c>
      <c r="AB129" s="24">
        <f t="shared" si="120"/>
        <v>0</v>
      </c>
      <c r="AC129" s="24">
        <f t="shared" si="142"/>
        <v>23.666426858644467</v>
      </c>
      <c r="AD129" s="58">
        <f t="shared" si="183"/>
        <v>269</v>
      </c>
      <c r="AE129" s="58">
        <f t="shared" si="184"/>
        <v>275</v>
      </c>
      <c r="AF129" s="21">
        <f t="shared" si="94"/>
        <v>3.66147</v>
      </c>
      <c r="AG129" s="77">
        <f t="shared" si="95"/>
        <v>0</v>
      </c>
      <c r="AH129" s="114">
        <f t="shared" si="129"/>
        <v>1</v>
      </c>
      <c r="AI129" s="59">
        <f t="shared" si="96"/>
        <v>94.140134777969294</v>
      </c>
      <c r="AJ129" s="59">
        <f t="shared" si="97"/>
        <v>88.652384324749377</v>
      </c>
      <c r="AK129" s="55">
        <v>10.25</v>
      </c>
      <c r="AL129" s="55">
        <v>2.31</v>
      </c>
      <c r="AM129" s="21">
        <f t="shared" si="185"/>
        <v>11.838750000000001</v>
      </c>
      <c r="AN129" s="54">
        <v>10.25</v>
      </c>
      <c r="AO129" s="55">
        <v>0.14000000000000001</v>
      </c>
      <c r="AP129" s="21">
        <f t="shared" si="186"/>
        <v>0.95666666666666667</v>
      </c>
      <c r="AQ129" s="55"/>
      <c r="AR129" s="55">
        <v>0</v>
      </c>
      <c r="AS129" s="21">
        <f t="shared" si="187"/>
        <v>0</v>
      </c>
      <c r="AT129" s="54">
        <v>9.77</v>
      </c>
      <c r="AU129" s="54">
        <v>0.77</v>
      </c>
      <c r="AV129" s="21">
        <f t="shared" si="188"/>
        <v>3.76145</v>
      </c>
      <c r="AW129" s="54"/>
      <c r="AX129" s="54"/>
      <c r="AY129" s="21">
        <f t="shared" si="189"/>
        <v>0</v>
      </c>
      <c r="AZ129" s="54">
        <v>9.57</v>
      </c>
      <c r="BA129" s="54">
        <v>0.37</v>
      </c>
      <c r="BB129" s="21">
        <f t="shared" si="190"/>
        <v>2.3606000000000003</v>
      </c>
      <c r="BC129" s="54"/>
      <c r="BD129" s="54"/>
      <c r="BE129" s="21">
        <f t="shared" si="191"/>
        <v>0</v>
      </c>
      <c r="BF129" s="55"/>
      <c r="BG129" s="55"/>
      <c r="BH129" s="21">
        <f t="shared" si="192"/>
        <v>0</v>
      </c>
      <c r="BI129" s="55">
        <v>0</v>
      </c>
      <c r="BJ129" s="55">
        <v>0</v>
      </c>
      <c r="BK129" s="21">
        <f t="shared" si="193"/>
        <v>0</v>
      </c>
      <c r="BL129" s="55">
        <v>0</v>
      </c>
      <c r="BM129" s="55">
        <v>0</v>
      </c>
      <c r="BN129" s="21">
        <f t="shared" si="194"/>
        <v>0</v>
      </c>
      <c r="BO129" s="55">
        <v>0</v>
      </c>
      <c r="BP129" s="55">
        <v>0</v>
      </c>
      <c r="BQ129" s="21">
        <f t="shared" si="195"/>
        <v>0</v>
      </c>
      <c r="BR129" s="55">
        <v>0</v>
      </c>
      <c r="BS129" s="21">
        <f t="shared" si="196"/>
        <v>18.91746666666667</v>
      </c>
      <c r="BT129" s="56">
        <v>0</v>
      </c>
      <c r="BU129" s="56"/>
      <c r="BV129" s="21">
        <f t="shared" si="197"/>
        <v>0</v>
      </c>
      <c r="BW129" s="77">
        <f t="shared" si="121"/>
        <v>0</v>
      </c>
      <c r="BX129" s="55"/>
      <c r="BY129" s="21">
        <f t="shared" si="198"/>
        <v>0</v>
      </c>
      <c r="BZ129" s="55"/>
      <c r="CA129" s="55"/>
      <c r="CB129" s="21">
        <f t="shared" si="199"/>
        <v>0</v>
      </c>
      <c r="CC129" s="54"/>
      <c r="CD129" s="54"/>
      <c r="CE129" s="21">
        <f t="shared" si="200"/>
        <v>0</v>
      </c>
      <c r="CF129" s="21"/>
      <c r="CG129" s="21"/>
      <c r="CH129" s="21">
        <f t="shared" si="122"/>
        <v>0</v>
      </c>
      <c r="CI129" s="25">
        <f t="shared" si="123"/>
        <v>0</v>
      </c>
      <c r="CJ129" s="54">
        <v>0.35</v>
      </c>
      <c r="CK129" s="21">
        <f t="shared" si="161"/>
        <v>1.8374999999999999</v>
      </c>
      <c r="CL129" s="55">
        <v>24</v>
      </c>
      <c r="CM129" s="55"/>
      <c r="CN129" s="60">
        <v>38118</v>
      </c>
      <c r="CO129" s="55" t="s">
        <v>295</v>
      </c>
      <c r="CP129" s="55">
        <v>0</v>
      </c>
      <c r="CQ129" s="55">
        <v>0</v>
      </c>
      <c r="CR129" s="55">
        <v>0</v>
      </c>
      <c r="CS129" s="55">
        <v>0</v>
      </c>
      <c r="CT129" s="55"/>
      <c r="CU129" s="55"/>
      <c r="CV129" s="55"/>
      <c r="CW129" s="55"/>
      <c r="CX129" s="55"/>
      <c r="CY129" s="21">
        <f t="shared" si="201"/>
        <v>0</v>
      </c>
      <c r="CZ129" s="56">
        <v>4.03</v>
      </c>
      <c r="DA129" s="56">
        <v>9.07</v>
      </c>
      <c r="DB129" s="56">
        <v>7.97</v>
      </c>
      <c r="DC129" s="56">
        <v>3.29</v>
      </c>
      <c r="DD129" s="61">
        <f t="shared" si="125"/>
        <v>0.81637717121588083</v>
      </c>
      <c r="DE129" s="21">
        <f t="shared" si="126"/>
        <v>24.409800000000001</v>
      </c>
      <c r="DF129" s="55"/>
      <c r="DG129" s="55"/>
      <c r="DH129" s="55"/>
      <c r="DI129" s="55"/>
      <c r="DJ129" s="104"/>
      <c r="DK129" s="53" t="s">
        <v>296</v>
      </c>
      <c r="DM129" s="58">
        <f t="shared" si="205"/>
        <v>1068.4246389779198</v>
      </c>
      <c r="DN129" s="58">
        <f t="shared" si="202"/>
        <v>761.74</v>
      </c>
      <c r="DO129" s="21">
        <f t="shared" si="203"/>
        <v>0.71295622752457155</v>
      </c>
      <c r="DP129" s="62">
        <f t="shared" si="204"/>
        <v>1.0379180977891345</v>
      </c>
      <c r="DQ129" s="7">
        <v>0</v>
      </c>
      <c r="DR129" s="107">
        <f t="shared" si="206"/>
        <v>0</v>
      </c>
    </row>
    <row r="130" spans="1:122" ht="12.75" customHeight="1" x14ac:dyDescent="0.2">
      <c r="A130" s="53" t="s">
        <v>297</v>
      </c>
      <c r="B130" s="54">
        <v>2</v>
      </c>
      <c r="C130" s="92">
        <f t="shared" si="173"/>
        <v>96.741483098841584</v>
      </c>
      <c r="D130" s="92">
        <f t="shared" si="174"/>
        <v>90.596413326243379</v>
      </c>
      <c r="E130" s="92">
        <f>VLOOKUP(A130,[3]TRTOTAL!$A$7:$D$313,3,FALSE)</f>
        <v>96.741483098841584</v>
      </c>
      <c r="F130" s="92">
        <f>VLOOKUP(A130,[3]TRTOTAL!$A$7:$D$313,4,FALSE)</f>
        <v>90.596413326243379</v>
      </c>
      <c r="G130" s="92">
        <f t="shared" si="112"/>
        <v>0</v>
      </c>
      <c r="H130" s="92">
        <f t="shared" si="113"/>
        <v>0</v>
      </c>
      <c r="I130" s="54">
        <v>6.07</v>
      </c>
      <c r="J130" s="56">
        <v>6.06</v>
      </c>
      <c r="K130" s="54">
        <v>2.92</v>
      </c>
      <c r="L130" s="58">
        <v>2</v>
      </c>
      <c r="M130" s="57">
        <v>0</v>
      </c>
      <c r="N130" s="57">
        <v>125</v>
      </c>
      <c r="O130" s="87"/>
      <c r="P130" s="24">
        <f t="shared" si="175"/>
        <v>21.376766666666665</v>
      </c>
      <c r="Q130" s="24">
        <f t="shared" si="176"/>
        <v>10.039999999999999</v>
      </c>
      <c r="R130" s="24">
        <f t="shared" si="177"/>
        <v>4.8000000000000008E-2</v>
      </c>
      <c r="S130" s="87">
        <v>10.5</v>
      </c>
      <c r="T130" s="21">
        <f t="shared" si="178"/>
        <v>0</v>
      </c>
      <c r="U130" s="21"/>
      <c r="V130" s="24">
        <f t="shared" si="179"/>
        <v>2.36</v>
      </c>
      <c r="W130" s="24">
        <f t="shared" si="180"/>
        <v>2.5349999999999997</v>
      </c>
      <c r="X130" s="24">
        <f t="shared" si="181"/>
        <v>3.3264889832937174</v>
      </c>
      <c r="Y130" s="25">
        <f t="shared" si="128"/>
        <v>1</v>
      </c>
      <c r="Z130" s="24">
        <f t="shared" si="119"/>
        <v>20.540577344379368</v>
      </c>
      <c r="AA130" s="21">
        <f t="shared" si="182"/>
        <v>0</v>
      </c>
      <c r="AB130" s="24">
        <f t="shared" si="120"/>
        <v>4.3200000000000009E-2</v>
      </c>
      <c r="AC130" s="24">
        <f t="shared" si="142"/>
        <v>24.692411344379366</v>
      </c>
      <c r="AD130" s="58">
        <f t="shared" si="183"/>
        <v>269</v>
      </c>
      <c r="AE130" s="58">
        <f t="shared" si="184"/>
        <v>275</v>
      </c>
      <c r="AF130" s="21">
        <f t="shared" si="94"/>
        <v>4.1142499999999993</v>
      </c>
      <c r="AG130" s="77">
        <f t="shared" si="95"/>
        <v>0</v>
      </c>
      <c r="AH130" s="114">
        <f t="shared" si="129"/>
        <v>1</v>
      </c>
      <c r="AI130" s="59">
        <f t="shared" si="96"/>
        <v>93.072168608744803</v>
      </c>
      <c r="AJ130" s="59">
        <f t="shared" si="97"/>
        <v>87.160175618070781</v>
      </c>
      <c r="AK130" s="55">
        <v>10.039999999999999</v>
      </c>
      <c r="AL130" s="55">
        <v>2.36</v>
      </c>
      <c r="AM130" s="21">
        <f t="shared" si="185"/>
        <v>11.847199999999999</v>
      </c>
      <c r="AN130" s="54">
        <f>AK130</f>
        <v>10.039999999999999</v>
      </c>
      <c r="AO130" s="55">
        <v>0.11</v>
      </c>
      <c r="AP130" s="21">
        <f t="shared" si="186"/>
        <v>0.73626666666666651</v>
      </c>
      <c r="AQ130" s="55">
        <v>2.44</v>
      </c>
      <c r="AR130" s="55">
        <v>0</v>
      </c>
      <c r="AS130" s="21">
        <f t="shared" si="187"/>
        <v>0</v>
      </c>
      <c r="AT130" s="54">
        <v>9.7200000000000006</v>
      </c>
      <c r="AU130" s="54">
        <v>0.31</v>
      </c>
      <c r="AV130" s="21">
        <f t="shared" si="188"/>
        <v>1.5066000000000002</v>
      </c>
      <c r="AW130" s="54">
        <v>9.56</v>
      </c>
      <c r="AX130" s="54">
        <v>1.1399999999999999</v>
      </c>
      <c r="AY130" s="21">
        <f t="shared" si="189"/>
        <v>5.4491999999999994</v>
      </c>
      <c r="AZ130" s="54">
        <v>0</v>
      </c>
      <c r="BA130" s="54">
        <v>0</v>
      </c>
      <c r="BB130" s="21">
        <f t="shared" si="190"/>
        <v>0</v>
      </c>
      <c r="BC130" s="54">
        <v>0</v>
      </c>
      <c r="BD130" s="54">
        <v>0</v>
      </c>
      <c r="BE130" s="21">
        <f t="shared" si="191"/>
        <v>0</v>
      </c>
      <c r="BF130" s="55">
        <v>0</v>
      </c>
      <c r="BG130" s="55">
        <v>0</v>
      </c>
      <c r="BH130" s="21">
        <f t="shared" si="192"/>
        <v>0</v>
      </c>
      <c r="BI130" s="55">
        <v>0</v>
      </c>
      <c r="BJ130" s="55">
        <v>0</v>
      </c>
      <c r="BK130" s="21">
        <f t="shared" si="193"/>
        <v>0</v>
      </c>
      <c r="BL130" s="55">
        <v>0</v>
      </c>
      <c r="BM130" s="55">
        <v>0</v>
      </c>
      <c r="BN130" s="21">
        <f t="shared" si="194"/>
        <v>0</v>
      </c>
      <c r="BO130" s="55">
        <v>0</v>
      </c>
      <c r="BP130" s="55">
        <v>0</v>
      </c>
      <c r="BQ130" s="21">
        <f t="shared" si="195"/>
        <v>0</v>
      </c>
      <c r="BR130" s="55">
        <v>0</v>
      </c>
      <c r="BS130" s="21">
        <f t="shared" si="196"/>
        <v>19.539266666666666</v>
      </c>
      <c r="BT130" s="56">
        <v>0</v>
      </c>
      <c r="BU130" s="56">
        <v>0</v>
      </c>
      <c r="BV130" s="21">
        <f t="shared" si="197"/>
        <v>0</v>
      </c>
      <c r="BW130" s="77">
        <f t="shared" si="121"/>
        <v>0</v>
      </c>
      <c r="BX130" s="55">
        <v>0</v>
      </c>
      <c r="BY130" s="21">
        <f t="shared" si="198"/>
        <v>0</v>
      </c>
      <c r="BZ130" s="55">
        <v>0</v>
      </c>
      <c r="CA130" s="55">
        <v>0</v>
      </c>
      <c r="CB130" s="21">
        <f t="shared" si="199"/>
        <v>0</v>
      </c>
      <c r="CC130" s="54">
        <v>1.8</v>
      </c>
      <c r="CD130" s="54">
        <v>0.04</v>
      </c>
      <c r="CE130" s="21">
        <f t="shared" si="200"/>
        <v>4.8000000000000008E-2</v>
      </c>
      <c r="CF130" s="21"/>
      <c r="CG130" s="21"/>
      <c r="CH130" s="21">
        <f t="shared" si="122"/>
        <v>0</v>
      </c>
      <c r="CI130" s="25">
        <f t="shared" si="123"/>
        <v>4.8000000000000008E-2</v>
      </c>
      <c r="CJ130" s="54">
        <v>0.35</v>
      </c>
      <c r="CK130" s="21">
        <f t="shared" si="161"/>
        <v>1.8374999999999999</v>
      </c>
      <c r="CL130" s="55" t="s">
        <v>298</v>
      </c>
      <c r="CM130" s="55" t="s">
        <v>299</v>
      </c>
      <c r="CN130" s="60">
        <v>40347</v>
      </c>
      <c r="CO130" s="55" t="s">
        <v>200</v>
      </c>
      <c r="CP130" s="55" t="s">
        <v>300</v>
      </c>
      <c r="CQ130" s="55">
        <v>0</v>
      </c>
      <c r="CR130" s="55">
        <v>0</v>
      </c>
      <c r="CS130" s="55">
        <v>0</v>
      </c>
      <c r="CT130" s="55"/>
      <c r="CU130" s="55"/>
      <c r="CV130" s="55"/>
      <c r="CW130" s="55"/>
      <c r="CX130" s="55"/>
      <c r="CY130" s="21">
        <f t="shared" si="201"/>
        <v>0</v>
      </c>
      <c r="CZ130" s="56">
        <v>4.68</v>
      </c>
      <c r="DA130" s="56">
        <v>9.2100000000000009</v>
      </c>
      <c r="DB130" s="56">
        <v>8.2899999999999991</v>
      </c>
      <c r="DC130" s="56">
        <v>3.532</v>
      </c>
      <c r="DD130" s="61">
        <f t="shared" si="125"/>
        <v>0.7547008547008548</v>
      </c>
      <c r="DE130" s="21">
        <f t="shared" si="126"/>
        <v>27.428333333333331</v>
      </c>
      <c r="DF130" s="55"/>
      <c r="DG130" s="55"/>
      <c r="DH130" s="55"/>
      <c r="DI130" s="55"/>
      <c r="DJ130" s="104"/>
      <c r="DK130" s="50" t="s">
        <v>301</v>
      </c>
      <c r="DM130" s="58">
        <f t="shared" si="205"/>
        <v>1082.6038326068219</v>
      </c>
      <c r="DN130" s="58">
        <f t="shared" si="202"/>
        <v>761.74</v>
      </c>
      <c r="DO130" s="21">
        <f t="shared" si="203"/>
        <v>0.70361842167673849</v>
      </c>
      <c r="DP130" s="62">
        <f t="shared" si="204"/>
        <v>1.0394244009239946</v>
      </c>
      <c r="DQ130" s="7">
        <v>0</v>
      </c>
      <c r="DR130" s="107">
        <f t="shared" si="206"/>
        <v>0</v>
      </c>
    </row>
    <row r="131" spans="1:122" ht="12.75" customHeight="1" x14ac:dyDescent="0.2">
      <c r="A131" s="53" t="s">
        <v>302</v>
      </c>
      <c r="B131" s="54">
        <v>2</v>
      </c>
      <c r="C131" s="92">
        <f t="shared" ref="C131:C166" si="207">AI131*PowerFactor</f>
        <v>85.957414329401772</v>
      </c>
      <c r="D131" s="92">
        <f t="shared" ref="D131:D166" si="208">AJ131*PowerFactor*IF(crew=1,1.01,1)</f>
        <v>81.824332522860502</v>
      </c>
      <c r="E131" s="92">
        <f>VLOOKUP(A131,[3]TRTOTAL!$A$7:$D$313,3,FALSE)</f>
        <v>85.987574224978317</v>
      </c>
      <c r="F131" s="92">
        <f>VLOOKUP(A131,[3]TRTOTAL!$A$7:$D$313,4,FALSE)</f>
        <v>81.853042243176802</v>
      </c>
      <c r="G131" s="92">
        <f t="shared" si="112"/>
        <v>-3.0159895576545637E-2</v>
      </c>
      <c r="H131" s="92">
        <f t="shared" si="113"/>
        <v>-2.8709720316300036E-2</v>
      </c>
      <c r="I131" s="54">
        <v>6.08</v>
      </c>
      <c r="J131" s="56">
        <v>6.08</v>
      </c>
      <c r="K131" s="54">
        <v>4.32</v>
      </c>
      <c r="L131" s="58">
        <v>2</v>
      </c>
      <c r="M131" s="57"/>
      <c r="N131" s="57">
        <v>199</v>
      </c>
      <c r="O131" s="87" t="s">
        <v>595</v>
      </c>
      <c r="P131" s="24">
        <f>marea+areaMast+mssam+mareNoDet</f>
        <v>22.608000000000001</v>
      </c>
      <c r="Q131" s="24">
        <f t="shared" si="176"/>
        <v>10.57</v>
      </c>
      <c r="R131" s="24">
        <f>CI131</f>
        <v>6.1470000000000002</v>
      </c>
      <c r="S131" s="87">
        <v>10.5</v>
      </c>
      <c r="T131" s="21">
        <f>IF(gs_1,gs_1*0.94,VlgNoDetails)</f>
        <v>6.3520000000000003</v>
      </c>
      <c r="U131" s="21"/>
      <c r="V131" s="24">
        <f>IF(e_sp,e_sp,(IF(mfoot,MAX(CU131:CX131),IF(mainh1,mainh1,vlm*0.3))))</f>
        <v>2.3479999999999999</v>
      </c>
      <c r="W131" s="24">
        <f>IF(circMast,circMast/2,0.16)+V131</f>
        <v>2.508</v>
      </c>
      <c r="X131" s="24">
        <f>msam/e^2</f>
        <v>3.5942400586067169</v>
      </c>
      <c r="Y131" s="25">
        <f t="shared" si="128"/>
        <v>1</v>
      </c>
      <c r="Z131" s="24">
        <f>0.67*X131^0.3*msam*Y131</f>
        <v>22.2340752545215</v>
      </c>
      <c r="AA131" s="21">
        <f>IF(lpg,msag/lpg^2,0)</f>
        <v>0</v>
      </c>
      <c r="AB131" s="24">
        <f>IF(AA131,0.72*AA131^0.3*msag,IF(msag,0.9*msag,0))</f>
        <v>5.5323000000000002</v>
      </c>
      <c r="AC131" s="24">
        <f>rsam+rsag+IF(rsascr,rsascr-jibred*rsag,rsas-jibred*rsag)</f>
        <v>31.852282226592997</v>
      </c>
      <c r="AD131" s="58">
        <f>IF(wsex,wsex,wsin-6)+crew*(IF(AND(crew=1,msam+msag&gt;=11),75,IF(loa&lt;=4,65,IF(loa&lt;=4.8,70,75))))</f>
        <v>343</v>
      </c>
      <c r="AE131" s="58">
        <f>IF(wsin,wsin,wsex+6)+crew*(IF(AND(crew=1,msam+msag&gt;=11),75,IF(loa&lt;=4,65,IF(loa&lt;=4.8,70,75))))</f>
        <v>349</v>
      </c>
      <c r="AF131" s="21">
        <f>IF(sas,((sas)*0.15),IF(loa&lt;=4.87,IF(crew=1,14*0.15,17*0.15),IF(loa&lt;=5.8,IF(crew=1,17*0.15,21*0.15),IF(loa&lt;=6.71,IF(crew=1,20*0.15,25*0.15),0))))</f>
        <v>3.3699324999999996</v>
      </c>
      <c r="AG131" s="77">
        <f>IF(AND(ars&lt;0.75*(AND(ars&gt;0)),(sas/msam&gt;0.75)),(sas*(12/ars^1.1)*0.01),0)</f>
        <v>4.8051059720714981</v>
      </c>
      <c r="AH131" s="114">
        <f t="shared" si="129"/>
        <v>0.95</v>
      </c>
      <c r="AI131" s="59">
        <f>100/(1.15*rl^0.3*(rsam+rsag)^0.4/rwex^0.325)*corcb</f>
        <v>84.804247466779699</v>
      </c>
      <c r="AJ131" s="59">
        <f>100/(1.15*rl^0.3*rsa^0.4/rwin^0.325)*corcb</f>
        <v>80.72661326783566</v>
      </c>
      <c r="AK131" s="55"/>
      <c r="AL131" s="55">
        <v>2.3479999999999999</v>
      </c>
      <c r="AM131" s="21">
        <f>AK131*AL131*0.5</f>
        <v>0</v>
      </c>
      <c r="AN131" s="54">
        <v>10.57</v>
      </c>
      <c r="AO131" s="55"/>
      <c r="AP131" s="21">
        <f>AN131*AO131*2/3</f>
        <v>0</v>
      </c>
      <c r="AQ131" s="55"/>
      <c r="AR131" s="55"/>
      <c r="AS131" s="21">
        <f>AQ131*AR131*2/3</f>
        <v>0</v>
      </c>
      <c r="AT131" s="54"/>
      <c r="AU131" s="54"/>
      <c r="AV131" s="21">
        <f>AT131*AU131*0.5</f>
        <v>0</v>
      </c>
      <c r="AW131" s="54"/>
      <c r="AX131" s="54"/>
      <c r="AY131" s="21">
        <f>AW131*AX131*0.5</f>
        <v>0</v>
      </c>
      <c r="AZ131" s="54"/>
      <c r="BA131" s="54"/>
      <c r="BB131" s="21">
        <f>AZ131*BA131*2/3</f>
        <v>0</v>
      </c>
      <c r="BC131" s="54"/>
      <c r="BD131" s="54"/>
      <c r="BE131" s="21">
        <f>BC131*BD131*2/3</f>
        <v>0</v>
      </c>
      <c r="BF131" s="55"/>
      <c r="BG131" s="55"/>
      <c r="BH131" s="21">
        <f>BF131*BG131*0.5</f>
        <v>0</v>
      </c>
      <c r="BI131" s="55"/>
      <c r="BJ131" s="55"/>
      <c r="BK131" s="21">
        <f>BI131*BJ131*2/3</f>
        <v>0</v>
      </c>
      <c r="BL131" s="55">
        <v>0</v>
      </c>
      <c r="BM131" s="55">
        <v>0</v>
      </c>
      <c r="BN131" s="21">
        <f>BL131*BM131*0.5</f>
        <v>0</v>
      </c>
      <c r="BO131" s="55">
        <v>0</v>
      </c>
      <c r="BP131" s="55">
        <v>0</v>
      </c>
      <c r="BQ131" s="21">
        <f>BO131*BP131*0.5</f>
        <v>0</v>
      </c>
      <c r="BR131" s="55">
        <v>0</v>
      </c>
      <c r="BS131" s="21">
        <f>AM131+AP131+AS131+AV131+AY131+BB131+BE131+BH131+BK131+BN131+BQ131</f>
        <v>0</v>
      </c>
      <c r="BT131" s="56"/>
      <c r="BU131" s="56"/>
      <c r="BV131" s="21">
        <f>BT131*BU131*0.5</f>
        <v>0</v>
      </c>
      <c r="BW131" s="77">
        <f>BT131-CF131</f>
        <v>0</v>
      </c>
      <c r="BY131" s="21">
        <f>BW131*BX131*2/3</f>
        <v>0</v>
      </c>
      <c r="BZ131" s="55"/>
      <c r="CA131" s="55"/>
      <c r="CB131" s="21">
        <f>BZ131*CA131*2/3</f>
        <v>0</v>
      </c>
      <c r="CC131" s="54"/>
      <c r="CD131" s="54"/>
      <c r="CE131" s="21">
        <f>CC131*CD131*2/3</f>
        <v>0</v>
      </c>
      <c r="CF131" s="21"/>
      <c r="CG131" s="21"/>
      <c r="CH131" s="21">
        <f>CF131*CG131*0.5</f>
        <v>0</v>
      </c>
      <c r="CI131" s="25">
        <f>BV131+BY131+CB131+CE131+CH131+DG131</f>
        <v>6.1470000000000002</v>
      </c>
      <c r="CJ131" s="54"/>
      <c r="CK131" s="21">
        <f>MastLength*circMast*0.5</f>
        <v>0</v>
      </c>
      <c r="CL131" s="55"/>
      <c r="CM131" s="55" t="s">
        <v>304</v>
      </c>
      <c r="CN131" s="60">
        <v>43562</v>
      </c>
      <c r="CO131" s="55" t="s">
        <v>565</v>
      </c>
      <c r="CP131" s="55">
        <v>8</v>
      </c>
      <c r="CQ131" s="55">
        <v>6</v>
      </c>
      <c r="CR131" s="55" t="s">
        <v>306</v>
      </c>
      <c r="CS131" s="55">
        <v>0</v>
      </c>
      <c r="CT131" s="55"/>
      <c r="CU131" s="55"/>
      <c r="CV131" s="55"/>
      <c r="CW131" s="55"/>
      <c r="CX131" s="55"/>
      <c r="CY131" s="21">
        <f>(CT131+4*CU131+2*CV131+4*CW131+CX131)*AN131/12</f>
        <v>0</v>
      </c>
      <c r="CZ131" s="56">
        <v>4.38</v>
      </c>
      <c r="DA131" s="56">
        <v>9.69</v>
      </c>
      <c r="DB131" s="56">
        <v>8.6</v>
      </c>
      <c r="DC131" s="56">
        <v>2.59</v>
      </c>
      <c r="DD131" s="61">
        <f>IF(CZ131,DC131/CZ131,smg_sf_no_details)</f>
        <v>0.591324200913242</v>
      </c>
      <c r="DE131" s="21">
        <f>IF(CZ131,CZ131*(DA131+DB131)/4+(DC131-CZ131/2)*(DA131+DB131)/3,sas_no_details)</f>
        <v>22.466216666666664</v>
      </c>
      <c r="DF131" s="55">
        <v>22.608000000000001</v>
      </c>
      <c r="DG131" s="55">
        <v>6.1470000000000002</v>
      </c>
      <c r="DH131" s="55">
        <v>6.3520000000000003</v>
      </c>
      <c r="DI131" s="55"/>
      <c r="DJ131" s="104"/>
      <c r="DK131" s="50" t="s">
        <v>301</v>
      </c>
      <c r="DM131" s="58">
        <f t="shared" si="205"/>
        <v>1373.5936583018495</v>
      </c>
      <c r="DN131" s="58">
        <f>IF(wsex,0.5*wsex*width+(rwex-wsex)*width+trapeze*(rwex-wsex)/crew,0.5*(wsin-6)*width+(rwin-wsin)*width+trapeze*(rwin-wsin)/crew)</f>
        <v>1214.8800000000001</v>
      </c>
      <c r="DO131" s="21">
        <f>righting/heeling</f>
        <v>0.88445370481830532</v>
      </c>
      <c r="DP131" s="62">
        <f>IF((1/DO131)^$DP$5&lt;1,1,(1/DO131)^$DP$5)</f>
        <v>1.0135979847362457</v>
      </c>
      <c r="DQ131" s="7" t="s">
        <v>130</v>
      </c>
      <c r="DR131" s="107" t="str">
        <f t="shared" si="206"/>
        <v>yes</v>
      </c>
    </row>
    <row r="132" spans="1:122" ht="12.75" customHeight="1" x14ac:dyDescent="0.2">
      <c r="A132" s="53" t="s">
        <v>544</v>
      </c>
      <c r="B132" s="54">
        <v>2</v>
      </c>
      <c r="C132" s="92">
        <f t="shared" si="207"/>
        <v>89.662558697667933</v>
      </c>
      <c r="D132" s="92">
        <f t="shared" si="208"/>
        <v>84.58484820917586</v>
      </c>
      <c r="E132" s="92">
        <f>VLOOKUP(A132,[3]TRTOTAL!$A$7:$D$313,3,FALSE)</f>
        <v>89.662558697667933</v>
      </c>
      <c r="F132" s="92">
        <f>VLOOKUP(A132,[3]TRTOTAL!$A$7:$D$313,4,FALSE)</f>
        <v>84.58484820917586</v>
      </c>
      <c r="G132" s="92">
        <f t="shared" ref="G132:G196" si="209">C132-E132</f>
        <v>0</v>
      </c>
      <c r="H132" s="92">
        <f t="shared" ref="H132:H196" si="210">D132-F132</f>
        <v>0</v>
      </c>
      <c r="I132" s="54">
        <v>6.08</v>
      </c>
      <c r="J132" s="56">
        <v>6.08</v>
      </c>
      <c r="K132" s="54">
        <v>4.32</v>
      </c>
      <c r="L132" s="58">
        <v>2</v>
      </c>
      <c r="M132" s="57"/>
      <c r="N132" s="57">
        <v>199</v>
      </c>
      <c r="O132" s="87" t="s">
        <v>595</v>
      </c>
      <c r="P132" s="24">
        <f t="shared" si="175"/>
        <v>20.257000000000001</v>
      </c>
      <c r="Q132" s="24">
        <f t="shared" si="176"/>
        <v>10.27</v>
      </c>
      <c r="R132" s="24">
        <f t="shared" si="177"/>
        <v>5.8120000000000003</v>
      </c>
      <c r="S132" s="87">
        <v>10.5</v>
      </c>
      <c r="T132" s="21">
        <f t="shared" si="178"/>
        <v>6.6550000000000002</v>
      </c>
      <c r="U132" s="21">
        <v>2.35</v>
      </c>
      <c r="V132" s="24">
        <f t="shared" si="179"/>
        <v>2.35</v>
      </c>
      <c r="W132" s="24">
        <f t="shared" si="180"/>
        <v>2.5100000000000002</v>
      </c>
      <c r="X132" s="24">
        <f t="shared" si="181"/>
        <v>3.2153457881620922</v>
      </c>
      <c r="Y132" s="25">
        <f t="shared" si="128"/>
        <v>0.98505840647460718</v>
      </c>
      <c r="Z132" s="24">
        <f t="shared" ref="Z132:Z198" si="211">0.67*X132^0.3*msam*Y132</f>
        <v>18.97930119510346</v>
      </c>
      <c r="AA132" s="21">
        <f t="shared" si="182"/>
        <v>0</v>
      </c>
      <c r="AB132" s="24">
        <f t="shared" ref="AB132:AB198" si="212">IF(AA132,0.72*AA132^0.3*msag,IF(msag,0.9*msag,0))</f>
        <v>5.2308000000000003</v>
      </c>
      <c r="AC132" s="24">
        <f t="shared" si="142"/>
        <v>28.406136934942008</v>
      </c>
      <c r="AD132" s="58">
        <f t="shared" si="183"/>
        <v>343</v>
      </c>
      <c r="AE132" s="58">
        <f t="shared" si="184"/>
        <v>349</v>
      </c>
      <c r="AF132" s="21">
        <f t="shared" ref="AF132:AF198" si="213">IF(sas,((sas)*0.15),IF(loa&lt;=4.87,IF(crew=1,14*0.15,17*0.15),IF(loa&lt;=5.8,IF(crew=1,17*0.15,21*0.15),IF(loa&lt;=6.71,IF(crew=1,20*0.15,25*0.15),0))))</f>
        <v>3.4196800000000005</v>
      </c>
      <c r="AG132" s="77">
        <f t="shared" ref="AG132:AG198" si="214">IF(AND(ars&lt;0.75*(AND(ars&gt;0)),(sas/msam&gt;0.75)),(sas*(12/ars^1.1)*0.01),0)</f>
        <v>4.8760397398385473</v>
      </c>
      <c r="AH132" s="114">
        <f t="shared" si="129"/>
        <v>0.95</v>
      </c>
      <c r="AI132" s="59">
        <f t="shared" ref="AI132:AI198" si="215">100/(1.15*rl^0.3*(rsam+rsag)^0.4/rwex^0.325)*corcb</f>
        <v>89.583213708773684</v>
      </c>
      <c r="AJ132" s="59">
        <f t="shared" ref="AJ132:AJ198" si="216">100/(1.15*rl^0.3*rsa^0.4/rwin^0.325)*corcb</f>
        <v>84.50999663300783</v>
      </c>
      <c r="AK132" s="55"/>
      <c r="AL132" s="55">
        <v>2.2999999999999998</v>
      </c>
      <c r="AM132" s="21">
        <f t="shared" si="185"/>
        <v>0</v>
      </c>
      <c r="AN132" s="54">
        <v>10.27</v>
      </c>
      <c r="AO132" s="55"/>
      <c r="AP132" s="21">
        <f t="shared" si="186"/>
        <v>0</v>
      </c>
      <c r="AQ132" s="55"/>
      <c r="AR132" s="55"/>
      <c r="AS132" s="21">
        <f t="shared" si="187"/>
        <v>0</v>
      </c>
      <c r="AT132" s="54"/>
      <c r="AU132" s="54"/>
      <c r="AV132" s="21">
        <f t="shared" si="188"/>
        <v>0</v>
      </c>
      <c r="AW132" s="54"/>
      <c r="AX132" s="54"/>
      <c r="AY132" s="21">
        <f t="shared" si="189"/>
        <v>0</v>
      </c>
      <c r="AZ132" s="54">
        <v>8.51</v>
      </c>
      <c r="BA132" s="54"/>
      <c r="BB132" s="21">
        <f t="shared" si="190"/>
        <v>0</v>
      </c>
      <c r="BC132" s="54"/>
      <c r="BD132" s="54"/>
      <c r="BE132" s="21">
        <f t="shared" si="191"/>
        <v>0</v>
      </c>
      <c r="BF132" s="55"/>
      <c r="BG132" s="55"/>
      <c r="BH132" s="21">
        <f t="shared" si="192"/>
        <v>0</v>
      </c>
      <c r="BI132" s="55"/>
      <c r="BJ132" s="55"/>
      <c r="BK132" s="21">
        <f t="shared" si="193"/>
        <v>0</v>
      </c>
      <c r="BL132" s="55">
        <v>0</v>
      </c>
      <c r="BM132" s="55">
        <v>0</v>
      </c>
      <c r="BN132" s="21">
        <f t="shared" si="194"/>
        <v>0</v>
      </c>
      <c r="BO132" s="55">
        <v>0</v>
      </c>
      <c r="BP132" s="55">
        <v>0</v>
      </c>
      <c r="BQ132" s="21">
        <f t="shared" si="195"/>
        <v>0</v>
      </c>
      <c r="BR132" s="55">
        <v>0</v>
      </c>
      <c r="BS132" s="21">
        <f t="shared" si="196"/>
        <v>0</v>
      </c>
      <c r="BT132" s="56"/>
      <c r="BU132" s="56"/>
      <c r="BV132" s="21">
        <f t="shared" si="197"/>
        <v>0</v>
      </c>
      <c r="BW132" s="77">
        <f t="shared" ref="BW132:BW198" si="217">BT132-CF132</f>
        <v>0</v>
      </c>
      <c r="BY132" s="21">
        <f t="shared" si="198"/>
        <v>0</v>
      </c>
      <c r="BZ132" s="55"/>
      <c r="CA132" s="55"/>
      <c r="CB132" s="21">
        <f t="shared" si="199"/>
        <v>0</v>
      </c>
      <c r="CC132" s="54"/>
      <c r="CD132" s="54"/>
      <c r="CE132" s="21">
        <f t="shared" si="200"/>
        <v>0</v>
      </c>
      <c r="CF132" s="21"/>
      <c r="CG132" s="21"/>
      <c r="CH132" s="21">
        <f t="shared" ref="CH132:CH198" si="218">CF132*CG132*0.5</f>
        <v>0</v>
      </c>
      <c r="CI132" s="25">
        <f t="shared" ref="CI132:CI198" si="219">BV132+BY132+CB132+CE132+CH132+DG132</f>
        <v>5.8120000000000003</v>
      </c>
      <c r="CJ132" s="54"/>
      <c r="CK132" s="21">
        <f t="shared" ref="CK132:CK163" si="220">MastLength*circMast*0.5</f>
        <v>0</v>
      </c>
      <c r="CL132" s="55" t="s">
        <v>303</v>
      </c>
      <c r="CM132" s="55" t="s">
        <v>304</v>
      </c>
      <c r="CN132" s="60">
        <v>43210</v>
      </c>
      <c r="CO132" s="55" t="s">
        <v>305</v>
      </c>
      <c r="CP132" s="55" t="s">
        <v>545</v>
      </c>
      <c r="CQ132" s="55">
        <v>1234</v>
      </c>
      <c r="CR132" s="55"/>
      <c r="CS132" s="55">
        <v>0</v>
      </c>
      <c r="CT132" s="55"/>
      <c r="CU132" s="55"/>
      <c r="CV132" s="55"/>
      <c r="CW132" s="55"/>
      <c r="CX132" s="55"/>
      <c r="CY132" s="21">
        <f t="shared" si="201"/>
        <v>0</v>
      </c>
      <c r="CZ132" s="56">
        <v>4.38</v>
      </c>
      <c r="DA132" s="56">
        <v>9.9600000000000009</v>
      </c>
      <c r="DB132" s="56">
        <v>8.6</v>
      </c>
      <c r="DC132" s="56">
        <v>2.59</v>
      </c>
      <c r="DD132" s="61">
        <f t="shared" ref="DD132:DD198" si="221">IF(CZ132,DC132/CZ132,smg_sf_no_details)</f>
        <v>0.591324200913242</v>
      </c>
      <c r="DE132" s="21">
        <f t="shared" ref="DE132:DE198" si="222">IF(CZ132,CZ132*(DA132+DB132)/4+(DC132-CZ132/2)*(DA132+DB132)/3,sas_no_details)</f>
        <v>22.797866666666671</v>
      </c>
      <c r="DF132" s="55">
        <v>20.257000000000001</v>
      </c>
      <c r="DG132" s="55">
        <v>5.8120000000000003</v>
      </c>
      <c r="DH132" s="55">
        <v>6.6550000000000002</v>
      </c>
      <c r="DI132" s="55"/>
      <c r="DJ132" s="104"/>
      <c r="DK132" s="50" t="s">
        <v>301</v>
      </c>
      <c r="DM132" s="58">
        <f t="shared" si="205"/>
        <v>1224.6972569287677</v>
      </c>
      <c r="DN132" s="58">
        <f t="shared" si="202"/>
        <v>1214.8800000000001</v>
      </c>
      <c r="DO132" s="21">
        <f t="shared" si="203"/>
        <v>0.99198393164251319</v>
      </c>
      <c r="DP132" s="62">
        <f t="shared" si="204"/>
        <v>1.0008857126866668</v>
      </c>
      <c r="DQ132" s="7" t="s">
        <v>130</v>
      </c>
      <c r="DR132" s="107">
        <f t="shared" si="206"/>
        <v>0</v>
      </c>
    </row>
    <row r="133" spans="1:122" ht="12.75" customHeight="1" x14ac:dyDescent="0.2">
      <c r="A133" s="53" t="s">
        <v>307</v>
      </c>
      <c r="B133" s="54">
        <v>2</v>
      </c>
      <c r="C133" s="92">
        <f t="shared" si="207"/>
        <v>97.709749614362636</v>
      </c>
      <c r="D133" s="92">
        <f t="shared" si="208"/>
        <v>91.190522029926328</v>
      </c>
      <c r="E133" s="92">
        <f>VLOOKUP(A133,[3]TRTOTAL!$A$7:$D$313,3,FALSE)</f>
        <v>97.709749614362636</v>
      </c>
      <c r="F133" s="92">
        <f>VLOOKUP(A133,[3]TRTOTAL!$A$7:$D$313,4,FALSE)</f>
        <v>91.190522029926328</v>
      </c>
      <c r="G133" s="92">
        <f t="shared" si="209"/>
        <v>0</v>
      </c>
      <c r="H133" s="92">
        <f t="shared" si="210"/>
        <v>0</v>
      </c>
      <c r="I133" s="54">
        <v>6.07</v>
      </c>
      <c r="J133" s="56">
        <v>6.06</v>
      </c>
      <c r="K133" s="54">
        <v>2.92</v>
      </c>
      <c r="L133" s="57">
        <v>2</v>
      </c>
      <c r="M133" s="57"/>
      <c r="N133" s="57">
        <v>125</v>
      </c>
      <c r="O133" s="87"/>
      <c r="P133" s="24">
        <f t="shared" si="175"/>
        <v>20.754966666666668</v>
      </c>
      <c r="Q133" s="24">
        <f t="shared" si="176"/>
        <v>10.25</v>
      </c>
      <c r="R133" s="24">
        <f t="shared" si="177"/>
        <v>0</v>
      </c>
      <c r="S133" s="87">
        <v>10.5</v>
      </c>
      <c r="T133" s="21">
        <f t="shared" si="178"/>
        <v>0</v>
      </c>
      <c r="U133" s="21"/>
      <c r="V133" s="24">
        <f t="shared" si="179"/>
        <v>2.31</v>
      </c>
      <c r="W133" s="24">
        <f t="shared" si="180"/>
        <v>2.4849999999999999</v>
      </c>
      <c r="X133" s="24">
        <f t="shared" si="181"/>
        <v>3.3610057393320356</v>
      </c>
      <c r="Y133" s="25">
        <f t="shared" si="128"/>
        <v>1</v>
      </c>
      <c r="Z133" s="24">
        <f t="shared" si="211"/>
        <v>20.004956858644466</v>
      </c>
      <c r="AA133" s="21">
        <f t="shared" si="182"/>
        <v>0</v>
      </c>
      <c r="AB133" s="24">
        <f t="shared" si="212"/>
        <v>0</v>
      </c>
      <c r="AC133" s="24">
        <f t="shared" si="142"/>
        <v>24.204281858644464</v>
      </c>
      <c r="AD133" s="58">
        <f t="shared" si="183"/>
        <v>269</v>
      </c>
      <c r="AE133" s="58">
        <f t="shared" si="184"/>
        <v>275</v>
      </c>
      <c r="AF133" s="21">
        <f t="shared" si="213"/>
        <v>4.199325</v>
      </c>
      <c r="AG133" s="77">
        <f t="shared" si="214"/>
        <v>0</v>
      </c>
      <c r="AH133" s="114">
        <f t="shared" si="129"/>
        <v>1</v>
      </c>
      <c r="AI133" s="59">
        <f t="shared" si="215"/>
        <v>94.140134777969294</v>
      </c>
      <c r="AJ133" s="59">
        <f t="shared" si="216"/>
        <v>87.859073104294964</v>
      </c>
      <c r="AK133" s="55">
        <v>10.25</v>
      </c>
      <c r="AL133" s="55">
        <v>2.31</v>
      </c>
      <c r="AM133" s="21">
        <f t="shared" si="185"/>
        <v>11.838750000000001</v>
      </c>
      <c r="AN133" s="54">
        <v>10.25</v>
      </c>
      <c r="AO133" s="55">
        <v>0.14000000000000001</v>
      </c>
      <c r="AP133" s="21">
        <f t="shared" si="186"/>
        <v>0.95666666666666667</v>
      </c>
      <c r="AQ133" s="55"/>
      <c r="AR133" s="55">
        <v>0</v>
      </c>
      <c r="AS133" s="21">
        <f t="shared" si="187"/>
        <v>0</v>
      </c>
      <c r="AT133" s="54">
        <v>9.77</v>
      </c>
      <c r="AU133" s="54">
        <v>0.77</v>
      </c>
      <c r="AV133" s="21">
        <f t="shared" si="188"/>
        <v>3.76145</v>
      </c>
      <c r="AW133" s="54"/>
      <c r="AX133" s="54"/>
      <c r="AY133" s="21">
        <f t="shared" si="189"/>
        <v>0</v>
      </c>
      <c r="AZ133" s="54">
        <v>9.57</v>
      </c>
      <c r="BA133" s="54">
        <v>0.37</v>
      </c>
      <c r="BB133" s="21">
        <f t="shared" si="190"/>
        <v>2.3606000000000003</v>
      </c>
      <c r="BC133" s="54"/>
      <c r="BD133" s="54"/>
      <c r="BE133" s="21">
        <f t="shared" si="191"/>
        <v>0</v>
      </c>
      <c r="BF133" s="55"/>
      <c r="BG133" s="55"/>
      <c r="BH133" s="21">
        <f t="shared" si="192"/>
        <v>0</v>
      </c>
      <c r="BI133" s="55">
        <v>0</v>
      </c>
      <c r="BJ133" s="55">
        <v>0</v>
      </c>
      <c r="BK133" s="21">
        <f t="shared" si="193"/>
        <v>0</v>
      </c>
      <c r="BL133" s="55">
        <v>0</v>
      </c>
      <c r="BM133" s="55">
        <v>0</v>
      </c>
      <c r="BN133" s="21">
        <f t="shared" si="194"/>
        <v>0</v>
      </c>
      <c r="BO133" s="55">
        <v>0</v>
      </c>
      <c r="BP133" s="55">
        <v>0</v>
      </c>
      <c r="BQ133" s="21">
        <f t="shared" si="195"/>
        <v>0</v>
      </c>
      <c r="BR133" s="55">
        <v>0</v>
      </c>
      <c r="BS133" s="21">
        <f t="shared" si="196"/>
        <v>18.91746666666667</v>
      </c>
      <c r="BT133" s="56">
        <v>0</v>
      </c>
      <c r="BU133" s="56"/>
      <c r="BV133" s="21">
        <f t="shared" si="197"/>
        <v>0</v>
      </c>
      <c r="BW133" s="77">
        <f t="shared" si="217"/>
        <v>0</v>
      </c>
      <c r="BX133" s="55"/>
      <c r="BY133" s="21">
        <f t="shared" si="198"/>
        <v>0</v>
      </c>
      <c r="BZ133" s="55"/>
      <c r="CA133" s="55"/>
      <c r="CB133" s="21">
        <f t="shared" si="199"/>
        <v>0</v>
      </c>
      <c r="CC133" s="54"/>
      <c r="CD133" s="54"/>
      <c r="CE133" s="21">
        <f t="shared" si="200"/>
        <v>0</v>
      </c>
      <c r="CF133" s="21"/>
      <c r="CG133" s="21"/>
      <c r="CH133" s="21">
        <f t="shared" si="218"/>
        <v>0</v>
      </c>
      <c r="CI133" s="25">
        <f t="shared" si="219"/>
        <v>0</v>
      </c>
      <c r="CJ133" s="54">
        <v>0.35</v>
      </c>
      <c r="CK133" s="21">
        <f t="shared" si="220"/>
        <v>1.8374999999999999</v>
      </c>
      <c r="CL133" s="55">
        <v>24</v>
      </c>
      <c r="CM133" s="55"/>
      <c r="CN133" s="60">
        <v>38118</v>
      </c>
      <c r="CO133" s="55" t="s">
        <v>308</v>
      </c>
      <c r="CP133" s="55">
        <v>0</v>
      </c>
      <c r="CQ133" s="55">
        <v>0</v>
      </c>
      <c r="CR133" s="55">
        <v>0</v>
      </c>
      <c r="CS133" s="55">
        <v>0</v>
      </c>
      <c r="CT133" s="55"/>
      <c r="CU133" s="55"/>
      <c r="CV133" s="55"/>
      <c r="CW133" s="55"/>
      <c r="CX133" s="55"/>
      <c r="CY133" s="21">
        <f t="shared" si="201"/>
        <v>0</v>
      </c>
      <c r="CZ133" s="56">
        <v>4.7</v>
      </c>
      <c r="DA133" s="56">
        <v>9.3000000000000007</v>
      </c>
      <c r="DB133" s="56">
        <v>8.4</v>
      </c>
      <c r="DC133" s="56">
        <v>3.57</v>
      </c>
      <c r="DD133" s="61">
        <f t="shared" si="221"/>
        <v>0.75957446808510631</v>
      </c>
      <c r="DE133" s="21">
        <f t="shared" si="222"/>
        <v>27.995500000000003</v>
      </c>
      <c r="DF133" s="55"/>
      <c r="DG133" s="55"/>
      <c r="DH133" s="55"/>
      <c r="DI133" s="55"/>
      <c r="DJ133" s="104"/>
      <c r="DK133" s="53"/>
      <c r="DM133" s="58">
        <f t="shared" si="205"/>
        <v>1068.4246389779198</v>
      </c>
      <c r="DN133" s="58">
        <f t="shared" si="202"/>
        <v>761.74</v>
      </c>
      <c r="DO133" s="21">
        <f t="shared" si="203"/>
        <v>0.71295622752457155</v>
      </c>
      <c r="DP133" s="62">
        <f t="shared" si="204"/>
        <v>1.0379180977891345</v>
      </c>
      <c r="DQ133" s="7">
        <v>0</v>
      </c>
      <c r="DR133" s="107">
        <f t="shared" si="206"/>
        <v>0</v>
      </c>
    </row>
    <row r="134" spans="1:122" ht="12.75" customHeight="1" x14ac:dyDescent="0.2">
      <c r="A134" s="53" t="s">
        <v>309</v>
      </c>
      <c r="B134" s="54">
        <v>2</v>
      </c>
      <c r="C134" s="92">
        <f t="shared" si="207"/>
        <v>92.461302882522531</v>
      </c>
      <c r="D134" s="92">
        <f t="shared" si="208"/>
        <v>88.139291125346816</v>
      </c>
      <c r="E134" s="92">
        <f>VLOOKUP(A134,[3]TRTOTAL!$A$7:$D$313,3,FALSE)</f>
        <v>92.461302882522531</v>
      </c>
      <c r="F134" s="92">
        <f>VLOOKUP(A134,[3]TRTOTAL!$A$7:$D$313,4,FALSE)</f>
        <v>88.139291125346816</v>
      </c>
      <c r="G134" s="92">
        <f t="shared" si="209"/>
        <v>0</v>
      </c>
      <c r="H134" s="92">
        <f t="shared" si="210"/>
        <v>0</v>
      </c>
      <c r="I134" s="54">
        <v>6.07</v>
      </c>
      <c r="J134" s="56">
        <v>6.06</v>
      </c>
      <c r="K134" s="54">
        <v>2.92</v>
      </c>
      <c r="L134" s="58">
        <v>2</v>
      </c>
      <c r="M134" s="57"/>
      <c r="N134" s="57">
        <v>136</v>
      </c>
      <c r="O134" s="87"/>
      <c r="P134" s="24">
        <f t="shared" si="175"/>
        <v>20.81849166666666</v>
      </c>
      <c r="Q134" s="24">
        <f t="shared" si="176"/>
        <v>10.029999999999999</v>
      </c>
      <c r="R134" s="24">
        <f t="shared" si="177"/>
        <v>5.0778250000000007</v>
      </c>
      <c r="S134" s="87">
        <v>10.5</v>
      </c>
      <c r="T134" s="21">
        <f t="shared" si="178"/>
        <v>6.9841999999999995</v>
      </c>
      <c r="U134" s="21"/>
      <c r="V134" s="24">
        <f t="shared" si="179"/>
        <v>2.3849999999999998</v>
      </c>
      <c r="W134" s="24">
        <f t="shared" si="180"/>
        <v>2.5599999999999996</v>
      </c>
      <c r="X134" s="24">
        <f t="shared" si="181"/>
        <v>3.1766497294108071</v>
      </c>
      <c r="Y134" s="25">
        <f t="shared" si="128"/>
        <v>1</v>
      </c>
      <c r="Z134" s="24">
        <f t="shared" si="211"/>
        <v>19.729444741082272</v>
      </c>
      <c r="AA134" s="21">
        <f t="shared" si="182"/>
        <v>2.3339615053145648</v>
      </c>
      <c r="AB134" s="24">
        <f t="shared" si="212"/>
        <v>4.7145292282073017</v>
      </c>
      <c r="AC134" s="24">
        <f t="shared" si="142"/>
        <v>28.030410169622623</v>
      </c>
      <c r="AD134" s="58">
        <f t="shared" si="183"/>
        <v>280</v>
      </c>
      <c r="AE134" s="58">
        <f t="shared" si="184"/>
        <v>286</v>
      </c>
      <c r="AF134" s="21">
        <f t="shared" si="213"/>
        <v>4.199325</v>
      </c>
      <c r="AG134" s="77">
        <f t="shared" si="214"/>
        <v>0</v>
      </c>
      <c r="AH134" s="114">
        <f t="shared" si="129"/>
        <v>1</v>
      </c>
      <c r="AI134" s="59">
        <f t="shared" si="215"/>
        <v>88.027426946915085</v>
      </c>
      <c r="AJ134" s="59">
        <f t="shared" si="216"/>
        <v>83.912672315976295</v>
      </c>
      <c r="AK134" s="55">
        <v>10.029999999999999</v>
      </c>
      <c r="AL134" s="55">
        <v>2.3849999999999998</v>
      </c>
      <c r="AM134" s="21">
        <f t="shared" si="185"/>
        <v>11.960774999999998</v>
      </c>
      <c r="AN134" s="54">
        <v>10.029999999999999</v>
      </c>
      <c r="AO134" s="55">
        <v>0.105</v>
      </c>
      <c r="AP134" s="21">
        <f t="shared" si="186"/>
        <v>0.70209999999999984</v>
      </c>
      <c r="AQ134" s="55"/>
      <c r="AR134" s="55">
        <v>0</v>
      </c>
      <c r="AS134" s="21">
        <f t="shared" si="187"/>
        <v>0</v>
      </c>
      <c r="AT134" s="54">
        <v>9.7799999999999994</v>
      </c>
      <c r="AU134" s="54">
        <v>0.77</v>
      </c>
      <c r="AV134" s="21">
        <f t="shared" si="188"/>
        <v>3.7652999999999999</v>
      </c>
      <c r="AW134" s="54">
        <v>4.57</v>
      </c>
      <c r="AX134" s="54">
        <v>0.57999999999999996</v>
      </c>
      <c r="AY134" s="21">
        <f t="shared" si="189"/>
        <v>1.3252999999999999</v>
      </c>
      <c r="AZ134" s="54">
        <v>5.33</v>
      </c>
      <c r="BA134" s="54">
        <v>0.04</v>
      </c>
      <c r="BB134" s="21">
        <f t="shared" si="190"/>
        <v>0.14213333333333333</v>
      </c>
      <c r="BC134" s="54">
        <v>2.2000000000000002</v>
      </c>
      <c r="BD134" s="54">
        <v>0.03</v>
      </c>
      <c r="BE134" s="21">
        <f t="shared" si="191"/>
        <v>4.4000000000000004E-2</v>
      </c>
      <c r="BF134" s="55">
        <v>2.5299999999999998</v>
      </c>
      <c r="BG134" s="55">
        <v>0.77</v>
      </c>
      <c r="BH134" s="21">
        <f t="shared" si="192"/>
        <v>0.97404999999999997</v>
      </c>
      <c r="BI134" s="55">
        <v>2.02</v>
      </c>
      <c r="BJ134" s="55">
        <v>0.05</v>
      </c>
      <c r="BK134" s="21">
        <f t="shared" si="193"/>
        <v>6.7333333333333342E-2</v>
      </c>
      <c r="BL134" s="55">
        <v>0</v>
      </c>
      <c r="BM134" s="55">
        <v>0</v>
      </c>
      <c r="BN134" s="21">
        <f t="shared" si="194"/>
        <v>0</v>
      </c>
      <c r="BO134" s="55">
        <v>0</v>
      </c>
      <c r="BP134" s="55">
        <v>0</v>
      </c>
      <c r="BQ134" s="21">
        <f t="shared" si="195"/>
        <v>0</v>
      </c>
      <c r="BR134" s="55">
        <v>0</v>
      </c>
      <c r="BS134" s="21">
        <f t="shared" si="196"/>
        <v>18.980991666666661</v>
      </c>
      <c r="BT134" s="56">
        <v>7.43</v>
      </c>
      <c r="BU134" s="56">
        <v>1.4750000000000001</v>
      </c>
      <c r="BV134" s="21">
        <f t="shared" si="197"/>
        <v>5.4796250000000004</v>
      </c>
      <c r="BW134" s="77">
        <f t="shared" si="217"/>
        <v>7.43</v>
      </c>
      <c r="BX134" s="55">
        <v>-5.0000000000000001E-3</v>
      </c>
      <c r="BY134" s="21">
        <f t="shared" si="198"/>
        <v>-2.4766666666666669E-2</v>
      </c>
      <c r="BZ134" s="55">
        <v>1.58</v>
      </c>
      <c r="CA134" s="55">
        <v>0.08</v>
      </c>
      <c r="CB134" s="21">
        <f t="shared" si="199"/>
        <v>8.426666666666667E-2</v>
      </c>
      <c r="CC134" s="54">
        <v>6.59</v>
      </c>
      <c r="CD134" s="54">
        <v>-0.105</v>
      </c>
      <c r="CE134" s="21">
        <f t="shared" si="200"/>
        <v>-0.46129999999999999</v>
      </c>
      <c r="CF134" s="21"/>
      <c r="CG134" s="21"/>
      <c r="CH134" s="21">
        <f t="shared" si="218"/>
        <v>0</v>
      </c>
      <c r="CI134" s="25">
        <f t="shared" si="219"/>
        <v>5.0778250000000007</v>
      </c>
      <c r="CJ134" s="54">
        <v>0.35</v>
      </c>
      <c r="CK134" s="21">
        <f t="shared" si="220"/>
        <v>1.8374999999999999</v>
      </c>
      <c r="CL134" s="55" t="s">
        <v>310</v>
      </c>
      <c r="CM134" s="55" t="s">
        <v>311</v>
      </c>
      <c r="CN134" s="60">
        <v>39252</v>
      </c>
      <c r="CO134" s="55" t="s">
        <v>226</v>
      </c>
      <c r="CP134" s="55">
        <v>0</v>
      </c>
      <c r="CQ134" s="55">
        <v>0</v>
      </c>
      <c r="CR134" s="55">
        <v>0</v>
      </c>
      <c r="CS134" s="55">
        <v>0</v>
      </c>
      <c r="CT134" s="55"/>
      <c r="CU134" s="55"/>
      <c r="CV134" s="55"/>
      <c r="CW134" s="55"/>
      <c r="CX134" s="55"/>
      <c r="CY134" s="21">
        <f t="shared" si="201"/>
        <v>0</v>
      </c>
      <c r="CZ134" s="56">
        <v>4.7</v>
      </c>
      <c r="DA134" s="56">
        <v>9.3000000000000007</v>
      </c>
      <c r="DB134" s="56">
        <v>8.4</v>
      </c>
      <c r="DC134" s="56">
        <v>3.57</v>
      </c>
      <c r="DD134" s="61">
        <f t="shared" si="221"/>
        <v>0.75957446808510631</v>
      </c>
      <c r="DE134" s="21">
        <f t="shared" si="222"/>
        <v>27.995500000000003</v>
      </c>
      <c r="DF134" s="55"/>
      <c r="DG134" s="55"/>
      <c r="DH134" s="55"/>
      <c r="DI134" s="55"/>
      <c r="DJ134" s="104"/>
      <c r="DK134"/>
      <c r="DM134" s="58">
        <f t="shared" si="205"/>
        <v>1215.8671704397773</v>
      </c>
      <c r="DN134" s="58">
        <f t="shared" si="202"/>
        <v>777.8</v>
      </c>
      <c r="DO134" s="21">
        <f t="shared" si="203"/>
        <v>0.6397080362969837</v>
      </c>
      <c r="DP134" s="62">
        <f t="shared" si="204"/>
        <v>1.0503692552354313</v>
      </c>
      <c r="DQ134" s="7">
        <v>0</v>
      </c>
      <c r="DR134" s="107">
        <f t="shared" si="206"/>
        <v>0</v>
      </c>
    </row>
    <row r="135" spans="1:122" ht="12.75" customHeight="1" x14ac:dyDescent="0.2">
      <c r="A135" s="53" t="s">
        <v>312</v>
      </c>
      <c r="B135" s="54">
        <v>2</v>
      </c>
      <c r="C135" s="92">
        <f t="shared" si="207"/>
        <v>93.694686156039936</v>
      </c>
      <c r="D135" s="92">
        <f t="shared" si="208"/>
        <v>88.706739496418678</v>
      </c>
      <c r="E135" s="92">
        <f>VLOOKUP(A135,[3]TRTOTAL!$A$7:$D$313,3,FALSE)</f>
        <v>93.694686156039936</v>
      </c>
      <c r="F135" s="92">
        <f>VLOOKUP(A135,[3]TRTOTAL!$A$7:$D$313,4,FALSE)</f>
        <v>88.706739496418678</v>
      </c>
      <c r="G135" s="92">
        <f t="shared" si="209"/>
        <v>0</v>
      </c>
      <c r="H135" s="92">
        <f t="shared" si="210"/>
        <v>0</v>
      </c>
      <c r="I135" s="54">
        <v>6.07</v>
      </c>
      <c r="J135" s="56">
        <v>6.06</v>
      </c>
      <c r="K135" s="54">
        <v>3.52</v>
      </c>
      <c r="L135" s="58">
        <v>2</v>
      </c>
      <c r="M135" s="57"/>
      <c r="N135" s="57">
        <v>136.5</v>
      </c>
      <c r="O135" s="87"/>
      <c r="P135" s="24">
        <f t="shared" si="175"/>
        <v>18.364600000000003</v>
      </c>
      <c r="Q135" s="24">
        <f t="shared" si="176"/>
        <v>8.8800000000000008</v>
      </c>
      <c r="R135" s="24">
        <f t="shared" si="177"/>
        <v>4.4539999999999997</v>
      </c>
      <c r="S135" s="87">
        <v>9.3000000000000007</v>
      </c>
      <c r="T135" s="21">
        <f t="shared" si="178"/>
        <v>6.3919999999999995</v>
      </c>
      <c r="U135" s="21"/>
      <c r="V135" s="24">
        <f t="shared" si="179"/>
        <v>2.31</v>
      </c>
      <c r="W135" s="24">
        <f t="shared" si="180"/>
        <v>2.4750000000000001</v>
      </c>
      <c r="X135" s="24">
        <f t="shared" si="181"/>
        <v>2.9979961228446079</v>
      </c>
      <c r="Y135" s="25">
        <f t="shared" ref="Y135:Y200" si="223">IF(Decksweeper="yes",1,IF(mainh1,(mainh1/V135)^0.7,IF(mfoot&lt;CW135,(mfoot/CW135)^0.7,1)))</f>
        <v>1</v>
      </c>
      <c r="Z135" s="24">
        <f t="shared" si="211"/>
        <v>17.104311458524819</v>
      </c>
      <c r="AA135" s="21">
        <f t="shared" si="182"/>
        <v>2.5954198473282437</v>
      </c>
      <c r="AB135" s="24">
        <f t="shared" si="212"/>
        <v>4.2691852035256819</v>
      </c>
      <c r="AC135" s="24">
        <f t="shared" si="142"/>
        <v>24.931002585592161</v>
      </c>
      <c r="AD135" s="58">
        <f t="shared" si="183"/>
        <v>280.5</v>
      </c>
      <c r="AE135" s="58">
        <f t="shared" si="184"/>
        <v>286.5</v>
      </c>
      <c r="AF135" s="21">
        <f t="shared" si="213"/>
        <v>4.1124999999999998</v>
      </c>
      <c r="AG135" s="77">
        <f t="shared" si="214"/>
        <v>0</v>
      </c>
      <c r="AH135" s="114">
        <f t="shared" ref="AH135:AH199" si="224">IF(lb="no",1.04,(IF(lb="",1,(IF(lb="c",0.985,0.95)))))</f>
        <v>1</v>
      </c>
      <c r="AI135" s="59">
        <f t="shared" si="215"/>
        <v>92.936930079378328</v>
      </c>
      <c r="AJ135" s="59">
        <f t="shared" si="216"/>
        <v>87.989323454464028</v>
      </c>
      <c r="AK135" s="55">
        <v>8.8800000000000008</v>
      </c>
      <c r="AL135" s="55">
        <v>2.31</v>
      </c>
      <c r="AM135" s="21">
        <f t="shared" si="185"/>
        <v>10.256400000000001</v>
      </c>
      <c r="AN135" s="54">
        <v>8.8800000000000008</v>
      </c>
      <c r="AO135" s="55">
        <v>0.17</v>
      </c>
      <c r="AP135" s="21">
        <f t="shared" si="186"/>
        <v>1.0064000000000002</v>
      </c>
      <c r="AQ135" s="55"/>
      <c r="AR135" s="55">
        <v>0</v>
      </c>
      <c r="AS135" s="21">
        <f t="shared" si="187"/>
        <v>0</v>
      </c>
      <c r="AT135" s="54"/>
      <c r="AU135" s="54"/>
      <c r="AV135" s="21">
        <f t="shared" si="188"/>
        <v>0</v>
      </c>
      <c r="AW135" s="54">
        <v>8.68</v>
      </c>
      <c r="AX135" s="54">
        <v>1.07</v>
      </c>
      <c r="AY135" s="21">
        <f t="shared" si="189"/>
        <v>4.6437999999999997</v>
      </c>
      <c r="AZ135" s="54">
        <v>7.7</v>
      </c>
      <c r="BA135" s="54">
        <v>0.12</v>
      </c>
      <c r="BB135" s="21">
        <f t="shared" si="190"/>
        <v>0.61599999999999999</v>
      </c>
      <c r="BC135" s="54"/>
      <c r="BD135" s="54"/>
      <c r="BE135" s="21">
        <f t="shared" si="191"/>
        <v>0</v>
      </c>
      <c r="BF135" s="55">
        <v>1.5</v>
      </c>
      <c r="BG135" s="55">
        <v>0.41</v>
      </c>
      <c r="BH135" s="21">
        <f t="shared" si="192"/>
        <v>0.3075</v>
      </c>
      <c r="BI135" s="55"/>
      <c r="BJ135" s="55"/>
      <c r="BK135" s="21">
        <f t="shared" si="193"/>
        <v>0</v>
      </c>
      <c r="BL135" s="55"/>
      <c r="BM135" s="55"/>
      <c r="BN135" s="21">
        <f t="shared" si="194"/>
        <v>0</v>
      </c>
      <c r="BO135" s="55"/>
      <c r="BP135" s="55"/>
      <c r="BQ135" s="21">
        <f t="shared" si="195"/>
        <v>0</v>
      </c>
      <c r="BR135" s="55"/>
      <c r="BS135" s="21">
        <f t="shared" si="196"/>
        <v>16.830100000000002</v>
      </c>
      <c r="BT135" s="56">
        <v>6.8</v>
      </c>
      <c r="BU135" s="56">
        <v>1.31</v>
      </c>
      <c r="BV135" s="21">
        <f t="shared" si="197"/>
        <v>4.4539999999999997</v>
      </c>
      <c r="BW135" s="77">
        <f t="shared" si="217"/>
        <v>6.8</v>
      </c>
      <c r="BX135" s="55"/>
      <c r="BY135" s="21">
        <f t="shared" si="198"/>
        <v>0</v>
      </c>
      <c r="BZ135" s="55"/>
      <c r="CA135" s="55"/>
      <c r="CB135" s="21">
        <f t="shared" si="199"/>
        <v>0</v>
      </c>
      <c r="CC135" s="54"/>
      <c r="CD135" s="54"/>
      <c r="CE135" s="21">
        <f t="shared" si="200"/>
        <v>0</v>
      </c>
      <c r="CF135" s="21"/>
      <c r="CG135" s="21"/>
      <c r="CH135" s="21">
        <f t="shared" si="218"/>
        <v>0</v>
      </c>
      <c r="CI135" s="25">
        <f t="shared" si="219"/>
        <v>4.4539999999999997</v>
      </c>
      <c r="CJ135" s="54">
        <v>0.33</v>
      </c>
      <c r="CK135" s="21">
        <f t="shared" si="220"/>
        <v>1.5345000000000002</v>
      </c>
      <c r="CL135" s="55">
        <v>1116</v>
      </c>
      <c r="CM135" s="55" t="s">
        <v>217</v>
      </c>
      <c r="CN135" s="60">
        <v>39254</v>
      </c>
      <c r="CO135" s="55" t="s">
        <v>142</v>
      </c>
      <c r="CP135" s="55">
        <v>14327</v>
      </c>
      <c r="CQ135" s="55" t="s">
        <v>313</v>
      </c>
      <c r="CR135" s="55"/>
      <c r="CS135" s="55">
        <v>0</v>
      </c>
      <c r="CT135" s="55"/>
      <c r="CU135" s="55"/>
      <c r="CV135" s="55"/>
      <c r="CW135" s="55"/>
      <c r="CX135" s="55"/>
      <c r="CY135" s="21">
        <f t="shared" si="201"/>
        <v>0</v>
      </c>
      <c r="CZ135" s="56">
        <v>4.68</v>
      </c>
      <c r="DA135" s="56">
        <v>9.2100000000000009</v>
      </c>
      <c r="DB135" s="56">
        <v>8.2899999999999991</v>
      </c>
      <c r="DC135" s="56">
        <v>3.53</v>
      </c>
      <c r="DD135" s="61">
        <f t="shared" si="221"/>
        <v>0.75427350427350426</v>
      </c>
      <c r="DE135" s="21">
        <f t="shared" si="222"/>
        <v>27.416666666666664</v>
      </c>
      <c r="DF135" s="55"/>
      <c r="DG135" s="55"/>
      <c r="DH135" s="55"/>
      <c r="DI135" s="55"/>
      <c r="DJ135" s="104"/>
      <c r="DK135" s="50" t="s">
        <v>314</v>
      </c>
      <c r="DM135" s="58">
        <f t="shared" si="205"/>
        <v>977.22172470988789</v>
      </c>
      <c r="DN135" s="58">
        <f t="shared" si="202"/>
        <v>907.68000000000006</v>
      </c>
      <c r="DO135" s="21">
        <f t="shared" si="203"/>
        <v>0.92883731199228814</v>
      </c>
      <c r="DP135" s="62">
        <f t="shared" si="204"/>
        <v>1.0081534442337874</v>
      </c>
      <c r="DQ135" s="7">
        <v>0</v>
      </c>
      <c r="DR135" s="107">
        <f t="shared" si="206"/>
        <v>0</v>
      </c>
    </row>
    <row r="136" spans="1:122" ht="12.75" customHeight="1" x14ac:dyDescent="0.2">
      <c r="A136" s="53" t="s">
        <v>315</v>
      </c>
      <c r="B136" s="54">
        <v>2</v>
      </c>
      <c r="C136" s="92">
        <f t="shared" si="207"/>
        <v>89.486237054507811</v>
      </c>
      <c r="D136" s="92">
        <f t="shared" si="208"/>
        <v>85.454722313053523</v>
      </c>
      <c r="E136" s="92">
        <f>VLOOKUP(A136,[3]TRTOTAL!$A$7:$D$313,3,FALSE)</f>
        <v>89.486237054507811</v>
      </c>
      <c r="F136" s="92">
        <f>VLOOKUP(A136,[3]TRTOTAL!$A$7:$D$313,4,FALSE)</f>
        <v>85.454722313053523</v>
      </c>
      <c r="G136" s="92">
        <f t="shared" si="209"/>
        <v>0</v>
      </c>
      <c r="H136" s="92">
        <f t="shared" si="210"/>
        <v>0</v>
      </c>
      <c r="I136" s="54">
        <v>6.07</v>
      </c>
      <c r="J136" s="56">
        <v>6.06</v>
      </c>
      <c r="K136" s="54">
        <v>2.92</v>
      </c>
      <c r="L136" s="58">
        <v>2</v>
      </c>
      <c r="M136" s="57">
        <v>0</v>
      </c>
      <c r="N136" s="57">
        <v>164</v>
      </c>
      <c r="O136" s="87"/>
      <c r="P136" s="24">
        <f t="shared" si="175"/>
        <v>25.248950000000001</v>
      </c>
      <c r="Q136" s="24">
        <f t="shared" si="176"/>
        <v>11.52</v>
      </c>
      <c r="R136" s="24">
        <f t="shared" si="177"/>
        <v>6.2273533333333342</v>
      </c>
      <c r="S136" s="87">
        <v>11.9</v>
      </c>
      <c r="T136" s="21">
        <f t="shared" si="178"/>
        <v>8.3659999999999997</v>
      </c>
      <c r="U136" s="21"/>
      <c r="V136" s="24">
        <f t="shared" si="179"/>
        <v>2.4700000000000002</v>
      </c>
      <c r="W136" s="24">
        <f t="shared" si="180"/>
        <v>2.68</v>
      </c>
      <c r="X136" s="24">
        <f t="shared" si="181"/>
        <v>3.5153917910447756</v>
      </c>
      <c r="Y136" s="25">
        <f t="shared" si="223"/>
        <v>1</v>
      </c>
      <c r="Z136" s="24">
        <f t="shared" si="211"/>
        <v>24.666654186840063</v>
      </c>
      <c r="AA136" s="21">
        <f t="shared" si="182"/>
        <v>2.8049877633139655</v>
      </c>
      <c r="AB136" s="24">
        <f t="shared" si="212"/>
        <v>6.1096354224268614</v>
      </c>
      <c r="AC136" s="24">
        <f t="shared" si="142"/>
        <v>35.081212004351428</v>
      </c>
      <c r="AD136" s="58">
        <f t="shared" si="183"/>
        <v>308</v>
      </c>
      <c r="AE136" s="58">
        <f t="shared" si="184"/>
        <v>314</v>
      </c>
      <c r="AF136" s="21">
        <f t="shared" si="213"/>
        <v>5.0991749999999989</v>
      </c>
      <c r="AG136" s="77">
        <f t="shared" si="214"/>
        <v>0</v>
      </c>
      <c r="AH136" s="114">
        <f t="shared" si="224"/>
        <v>1</v>
      </c>
      <c r="AI136" s="59">
        <f t="shared" si="215"/>
        <v>82.804292579939755</v>
      </c>
      <c r="AJ136" s="59">
        <f t="shared" si="216"/>
        <v>79.073811366517177</v>
      </c>
      <c r="AK136" s="55">
        <v>11.52</v>
      </c>
      <c r="AL136" s="55">
        <v>2.4700000000000002</v>
      </c>
      <c r="AM136" s="21">
        <f t="shared" si="185"/>
        <v>14.2272</v>
      </c>
      <c r="AN136" s="54">
        <f>AK136</f>
        <v>11.52</v>
      </c>
      <c r="AO136" s="55">
        <v>0.13</v>
      </c>
      <c r="AP136" s="21">
        <f t="shared" si="186"/>
        <v>0.99840000000000007</v>
      </c>
      <c r="AQ136" s="55">
        <v>2.5099999999999998</v>
      </c>
      <c r="AR136" s="55">
        <v>0</v>
      </c>
      <c r="AS136" s="21">
        <f t="shared" si="187"/>
        <v>0</v>
      </c>
      <c r="AT136" s="54">
        <v>11.26</v>
      </c>
      <c r="AU136" s="54">
        <v>0.68</v>
      </c>
      <c r="AV136" s="21">
        <f t="shared" si="188"/>
        <v>3.8284000000000002</v>
      </c>
      <c r="AW136" s="54">
        <v>5.75</v>
      </c>
      <c r="AX136" s="54">
        <v>0.62</v>
      </c>
      <c r="AY136" s="21">
        <f t="shared" si="189"/>
        <v>1.7825</v>
      </c>
      <c r="AZ136" s="54">
        <v>5.7</v>
      </c>
      <c r="BA136" s="54">
        <v>0.03</v>
      </c>
      <c r="BB136" s="21">
        <f t="shared" si="190"/>
        <v>0.11399999999999999</v>
      </c>
      <c r="BC136" s="54">
        <v>2.7</v>
      </c>
      <c r="BD136" s="54">
        <v>0.02</v>
      </c>
      <c r="BE136" s="21">
        <f t="shared" si="191"/>
        <v>3.6000000000000004E-2</v>
      </c>
      <c r="BF136" s="55">
        <v>3.19</v>
      </c>
      <c r="BG136" s="55">
        <v>1.07</v>
      </c>
      <c r="BH136" s="21">
        <f t="shared" si="192"/>
        <v>1.70665</v>
      </c>
      <c r="BI136" s="55">
        <v>2.84</v>
      </c>
      <c r="BJ136" s="55">
        <v>0.03</v>
      </c>
      <c r="BK136" s="21">
        <f t="shared" si="193"/>
        <v>5.6799999999999996E-2</v>
      </c>
      <c r="BL136" s="55">
        <v>0</v>
      </c>
      <c r="BM136" s="55">
        <v>0</v>
      </c>
      <c r="BN136" s="21">
        <f t="shared" si="194"/>
        <v>0</v>
      </c>
      <c r="BO136" s="55">
        <v>0</v>
      </c>
      <c r="BP136" s="55">
        <v>0</v>
      </c>
      <c r="BQ136" s="21">
        <f t="shared" si="195"/>
        <v>0</v>
      </c>
      <c r="BR136" s="55">
        <v>0</v>
      </c>
      <c r="BS136" s="21">
        <f t="shared" si="196"/>
        <v>22.749950000000002</v>
      </c>
      <c r="BT136" s="56">
        <v>8.9</v>
      </c>
      <c r="BU136" s="56">
        <v>1.49</v>
      </c>
      <c r="BV136" s="21">
        <f t="shared" si="197"/>
        <v>6.6305000000000005</v>
      </c>
      <c r="BW136" s="77">
        <f t="shared" si="217"/>
        <v>8.9</v>
      </c>
      <c r="BX136" s="55">
        <v>-0.01</v>
      </c>
      <c r="BY136" s="21">
        <f t="shared" si="198"/>
        <v>-5.9333333333333342E-2</v>
      </c>
      <c r="BZ136" s="55">
        <v>8.1199999999999992</v>
      </c>
      <c r="CA136" s="55">
        <v>-7.5999999999999998E-2</v>
      </c>
      <c r="CB136" s="21">
        <f t="shared" si="199"/>
        <v>-0.41141333333333324</v>
      </c>
      <c r="CC136" s="54">
        <v>1.69</v>
      </c>
      <c r="CD136" s="54">
        <v>0.06</v>
      </c>
      <c r="CE136" s="21">
        <f t="shared" si="200"/>
        <v>6.7599999999999993E-2</v>
      </c>
      <c r="CF136" s="21"/>
      <c r="CG136" s="21"/>
      <c r="CH136" s="21">
        <f t="shared" si="218"/>
        <v>0</v>
      </c>
      <c r="CI136" s="25">
        <f t="shared" si="219"/>
        <v>6.2273533333333342</v>
      </c>
      <c r="CJ136" s="54">
        <v>0.42</v>
      </c>
      <c r="CK136" s="21">
        <f t="shared" si="220"/>
        <v>2.4990000000000001</v>
      </c>
      <c r="CL136" s="55" t="s">
        <v>316</v>
      </c>
      <c r="CM136" s="55" t="s">
        <v>317</v>
      </c>
      <c r="CN136" s="60">
        <v>40695</v>
      </c>
      <c r="CO136" s="66" t="s">
        <v>318</v>
      </c>
      <c r="CP136" s="55">
        <v>6034</v>
      </c>
      <c r="CQ136" s="55">
        <v>6032</v>
      </c>
      <c r="CR136" s="55">
        <v>6031</v>
      </c>
      <c r="CS136" s="55">
        <v>0</v>
      </c>
      <c r="CT136" s="55"/>
      <c r="CU136" s="55"/>
      <c r="CV136" s="55"/>
      <c r="CW136" s="55"/>
      <c r="CX136" s="55"/>
      <c r="CY136" s="21">
        <f t="shared" si="201"/>
        <v>0</v>
      </c>
      <c r="CZ136" s="56">
        <v>4.8099999999999996</v>
      </c>
      <c r="DA136" s="56">
        <v>9.81</v>
      </c>
      <c r="DB136" s="56">
        <v>10.95</v>
      </c>
      <c r="DC136" s="56">
        <v>3.71</v>
      </c>
      <c r="DD136" s="61">
        <f t="shared" si="221"/>
        <v>0.77130977130977141</v>
      </c>
      <c r="DE136" s="21">
        <f t="shared" si="222"/>
        <v>33.994499999999995</v>
      </c>
      <c r="DF136" s="55"/>
      <c r="DG136" s="55"/>
      <c r="DH136" s="55"/>
      <c r="DI136" s="55"/>
      <c r="DJ136" s="104"/>
      <c r="DK136" s="50" t="s">
        <v>319</v>
      </c>
      <c r="DM136" s="58">
        <f t="shared" si="205"/>
        <v>1657.7104689106732</v>
      </c>
      <c r="DN136" s="58">
        <f t="shared" si="202"/>
        <v>818.68000000000006</v>
      </c>
      <c r="DO136" s="21">
        <f t="shared" si="203"/>
        <v>0.49386187476874477</v>
      </c>
      <c r="DP136" s="62">
        <f t="shared" si="204"/>
        <v>1.0806956290112286</v>
      </c>
      <c r="DQ136" s="7">
        <v>0</v>
      </c>
      <c r="DR136" s="107">
        <f t="shared" si="206"/>
        <v>0</v>
      </c>
    </row>
    <row r="137" spans="1:122" ht="12.75" customHeight="1" x14ac:dyDescent="0.2">
      <c r="A137" s="53" t="s">
        <v>320</v>
      </c>
      <c r="B137" s="54">
        <v>2</v>
      </c>
      <c r="C137" s="92">
        <f t="shared" si="207"/>
        <v>96.464065133675021</v>
      </c>
      <c r="D137" s="92">
        <f t="shared" si="208"/>
        <v>90.331612635632837</v>
      </c>
      <c r="E137" s="92">
        <f>VLOOKUP(A137,[3]TRTOTAL!$A$7:$D$313,3,FALSE)</f>
        <v>96.464065133675021</v>
      </c>
      <c r="F137" s="92">
        <f>VLOOKUP(A137,[3]TRTOTAL!$A$7:$D$313,4,FALSE)</f>
        <v>90.331612635632837</v>
      </c>
      <c r="G137" s="92">
        <f t="shared" si="209"/>
        <v>0</v>
      </c>
      <c r="H137" s="92">
        <f t="shared" si="210"/>
        <v>0</v>
      </c>
      <c r="I137" s="54">
        <v>6.07</v>
      </c>
      <c r="J137" s="56">
        <v>6.06</v>
      </c>
      <c r="K137" s="54">
        <v>2.92</v>
      </c>
      <c r="L137" s="57">
        <v>2</v>
      </c>
      <c r="M137" s="57"/>
      <c r="N137" s="57">
        <v>127</v>
      </c>
      <c r="O137" s="87"/>
      <c r="P137" s="24">
        <f t="shared" si="175"/>
        <v>22.231382999999997</v>
      </c>
      <c r="Q137" s="24">
        <f t="shared" si="176"/>
        <v>9.9939999999999998</v>
      </c>
      <c r="R137" s="24">
        <f t="shared" si="177"/>
        <v>0</v>
      </c>
      <c r="S137" s="87">
        <v>10.5</v>
      </c>
      <c r="T137" s="21">
        <f t="shared" si="178"/>
        <v>0</v>
      </c>
      <c r="U137" s="21"/>
      <c r="V137" s="24">
        <f t="shared" si="179"/>
        <v>2.4769999999999999</v>
      </c>
      <c r="W137" s="24">
        <f t="shared" si="180"/>
        <v>2.6519999999999997</v>
      </c>
      <c r="X137" s="24">
        <f t="shared" si="181"/>
        <v>3.1609632105539749</v>
      </c>
      <c r="Y137" s="25">
        <f t="shared" si="223"/>
        <v>1</v>
      </c>
      <c r="Z137" s="24">
        <f t="shared" si="211"/>
        <v>21.037160279473426</v>
      </c>
      <c r="AA137" s="21">
        <f t="shared" si="182"/>
        <v>0</v>
      </c>
      <c r="AB137" s="24">
        <f t="shared" si="212"/>
        <v>0</v>
      </c>
      <c r="AC137" s="24">
        <f t="shared" si="142"/>
        <v>25.236485279473428</v>
      </c>
      <c r="AD137" s="58">
        <f t="shared" si="183"/>
        <v>271</v>
      </c>
      <c r="AE137" s="58">
        <f t="shared" si="184"/>
        <v>277</v>
      </c>
      <c r="AF137" s="21">
        <f t="shared" si="213"/>
        <v>4.199325</v>
      </c>
      <c r="AG137" s="77">
        <f t="shared" si="214"/>
        <v>0</v>
      </c>
      <c r="AH137" s="114">
        <f t="shared" si="224"/>
        <v>1</v>
      </c>
      <c r="AI137" s="59">
        <f t="shared" si="215"/>
        <v>92.486968725656794</v>
      </c>
      <c r="AJ137" s="59">
        <f t="shared" si="216"/>
        <v>86.607349806300192</v>
      </c>
      <c r="AK137" s="55">
        <v>9.9939999999999998</v>
      </c>
      <c r="AL137" s="55">
        <v>2.4769999999999999</v>
      </c>
      <c r="AM137" s="21">
        <f t="shared" si="185"/>
        <v>12.377568999999999</v>
      </c>
      <c r="AN137" s="54">
        <v>9.9939999999999998</v>
      </c>
      <c r="AO137" s="55">
        <v>0.12</v>
      </c>
      <c r="AP137" s="21">
        <f t="shared" si="186"/>
        <v>0.7995199999999999</v>
      </c>
      <c r="AQ137" s="55">
        <v>2.4769999999999999</v>
      </c>
      <c r="AR137" s="55">
        <v>0</v>
      </c>
      <c r="AS137" s="21">
        <f t="shared" si="187"/>
        <v>0</v>
      </c>
      <c r="AT137" s="54">
        <v>9.8450000000000006</v>
      </c>
      <c r="AU137" s="54">
        <v>1.02</v>
      </c>
      <c r="AV137" s="21">
        <f t="shared" si="188"/>
        <v>5.02095</v>
      </c>
      <c r="AW137" s="54">
        <v>3.1819999999999999</v>
      </c>
      <c r="AX137" s="54">
        <v>0.96399999999999997</v>
      </c>
      <c r="AY137" s="21">
        <f t="shared" si="189"/>
        <v>1.5337239999999999</v>
      </c>
      <c r="AZ137" s="54">
        <v>6.9139999999999997</v>
      </c>
      <c r="BA137" s="54">
        <v>0.126</v>
      </c>
      <c r="BB137" s="21">
        <f t="shared" si="190"/>
        <v>0.58077599999999996</v>
      </c>
      <c r="BC137" s="54">
        <v>2.976</v>
      </c>
      <c r="BD137" s="54">
        <v>4.1000000000000002E-2</v>
      </c>
      <c r="BE137" s="21">
        <f t="shared" si="191"/>
        <v>8.1344E-2</v>
      </c>
      <c r="BF137" s="55"/>
      <c r="BG137" s="55"/>
      <c r="BH137" s="21">
        <f t="shared" si="192"/>
        <v>0</v>
      </c>
      <c r="BI137" s="55"/>
      <c r="BJ137" s="55"/>
      <c r="BK137" s="21">
        <f t="shared" si="193"/>
        <v>0</v>
      </c>
      <c r="BL137" s="55"/>
      <c r="BM137" s="55"/>
      <c r="BN137" s="21">
        <f t="shared" si="194"/>
        <v>0</v>
      </c>
      <c r="BO137" s="55"/>
      <c r="BP137" s="55"/>
      <c r="BQ137" s="21">
        <f t="shared" si="195"/>
        <v>0</v>
      </c>
      <c r="BR137" s="55"/>
      <c r="BS137" s="21">
        <f t="shared" si="196"/>
        <v>20.393882999999999</v>
      </c>
      <c r="BT137" s="56"/>
      <c r="BU137" s="56"/>
      <c r="BV137" s="21">
        <f t="shared" si="197"/>
        <v>0</v>
      </c>
      <c r="BW137" s="77">
        <f t="shared" si="217"/>
        <v>0</v>
      </c>
      <c r="BX137" s="55"/>
      <c r="BY137" s="21">
        <f t="shared" si="198"/>
        <v>0</v>
      </c>
      <c r="BZ137" s="55"/>
      <c r="CA137" s="55"/>
      <c r="CB137" s="21">
        <f t="shared" si="199"/>
        <v>0</v>
      </c>
      <c r="CC137" s="54"/>
      <c r="CD137" s="54"/>
      <c r="CE137" s="21">
        <f t="shared" si="200"/>
        <v>0</v>
      </c>
      <c r="CF137" s="21"/>
      <c r="CG137" s="21"/>
      <c r="CH137" s="21">
        <f t="shared" si="218"/>
        <v>0</v>
      </c>
      <c r="CI137" s="25">
        <f t="shared" si="219"/>
        <v>0</v>
      </c>
      <c r="CJ137" s="54">
        <v>0.35</v>
      </c>
      <c r="CK137" s="21">
        <f t="shared" si="220"/>
        <v>1.8374999999999999</v>
      </c>
      <c r="CL137" s="55" t="s">
        <v>321</v>
      </c>
      <c r="CM137" s="55" t="s">
        <v>322</v>
      </c>
      <c r="CN137" s="60">
        <v>40254</v>
      </c>
      <c r="CO137" s="55" t="s">
        <v>148</v>
      </c>
      <c r="CP137" s="55">
        <v>190158</v>
      </c>
      <c r="CQ137" s="55">
        <v>0</v>
      </c>
      <c r="CR137" s="55">
        <v>0</v>
      </c>
      <c r="CS137" s="55">
        <v>0</v>
      </c>
      <c r="CT137" s="55"/>
      <c r="CU137" s="55"/>
      <c r="CV137" s="55"/>
      <c r="CW137" s="55"/>
      <c r="CX137" s="55"/>
      <c r="CY137" s="21">
        <f t="shared" si="201"/>
        <v>0</v>
      </c>
      <c r="CZ137" s="56">
        <v>4.7</v>
      </c>
      <c r="DA137" s="56">
        <v>9.3000000000000007</v>
      </c>
      <c r="DB137" s="56">
        <v>8.4</v>
      </c>
      <c r="DC137" s="56">
        <v>3.57</v>
      </c>
      <c r="DD137" s="61">
        <f t="shared" si="221"/>
        <v>0.75957446808510631</v>
      </c>
      <c r="DE137" s="21">
        <f t="shared" si="222"/>
        <v>27.995500000000003</v>
      </c>
      <c r="DF137" s="55"/>
      <c r="DG137" s="55"/>
      <c r="DH137" s="55"/>
      <c r="DI137" s="55"/>
      <c r="DJ137" s="104"/>
      <c r="DK137" s="50" t="s">
        <v>301</v>
      </c>
      <c r="DM137" s="58">
        <f t="shared" si="205"/>
        <v>1121.2327481740822</v>
      </c>
      <c r="DN137" s="58">
        <f t="shared" si="202"/>
        <v>764.66</v>
      </c>
      <c r="DO137" s="21">
        <f t="shared" si="203"/>
        <v>0.68198150762653176</v>
      </c>
      <c r="DP137" s="62">
        <f t="shared" si="204"/>
        <v>1.043001694863797</v>
      </c>
      <c r="DQ137" s="7">
        <v>0</v>
      </c>
      <c r="DR137" s="107">
        <f t="shared" si="206"/>
        <v>0</v>
      </c>
    </row>
    <row r="138" spans="1:122" ht="12.75" customHeight="1" x14ac:dyDescent="0.2">
      <c r="A138" s="53" t="s">
        <v>323</v>
      </c>
      <c r="B138" s="54">
        <v>2</v>
      </c>
      <c r="C138" s="92">
        <f t="shared" si="207"/>
        <v>105.82305218341317</v>
      </c>
      <c r="D138" s="92">
        <f t="shared" si="208"/>
        <v>98.776853952141707</v>
      </c>
      <c r="E138" s="92">
        <f>VLOOKUP(A138,[3]TRTOTAL!$A$7:$D$313,3,FALSE)</f>
        <v>105.82305218341317</v>
      </c>
      <c r="F138" s="92">
        <f>VLOOKUP(A138,[3]TRTOTAL!$A$7:$D$313,4,FALSE)</f>
        <v>98.776853952141707</v>
      </c>
      <c r="G138" s="92">
        <f t="shared" si="209"/>
        <v>0</v>
      </c>
      <c r="H138" s="92">
        <f t="shared" si="210"/>
        <v>0</v>
      </c>
      <c r="I138" s="54">
        <v>6.07</v>
      </c>
      <c r="J138" s="56">
        <v>6.06</v>
      </c>
      <c r="K138" s="54">
        <v>2.92</v>
      </c>
      <c r="L138" s="57">
        <v>2</v>
      </c>
      <c r="M138" s="57"/>
      <c r="N138" s="57">
        <v>126</v>
      </c>
      <c r="O138" s="87"/>
      <c r="P138" s="24">
        <f t="shared" si="175"/>
        <v>16.550329333333334</v>
      </c>
      <c r="Q138" s="24">
        <f t="shared" si="176"/>
        <v>8.6300000000000008</v>
      </c>
      <c r="R138" s="24">
        <f t="shared" si="177"/>
        <v>0</v>
      </c>
      <c r="S138" s="87">
        <v>9</v>
      </c>
      <c r="T138" s="21">
        <f t="shared" si="178"/>
        <v>0</v>
      </c>
      <c r="U138" s="21"/>
      <c r="V138" s="24">
        <f t="shared" si="179"/>
        <v>2.29</v>
      </c>
      <c r="W138" s="24">
        <f t="shared" si="180"/>
        <v>2.4649999999999999</v>
      </c>
      <c r="X138" s="24">
        <f t="shared" si="181"/>
        <v>2.7237848060816274</v>
      </c>
      <c r="Y138" s="25">
        <f t="shared" si="223"/>
        <v>1</v>
      </c>
      <c r="Z138" s="24">
        <f t="shared" si="211"/>
        <v>14.977291441656739</v>
      </c>
      <c r="AA138" s="21">
        <f t="shared" si="182"/>
        <v>0</v>
      </c>
      <c r="AB138" s="24">
        <f t="shared" si="212"/>
        <v>0</v>
      </c>
      <c r="AC138" s="24">
        <f t="shared" si="142"/>
        <v>18.113467066656739</v>
      </c>
      <c r="AD138" s="58">
        <f t="shared" si="183"/>
        <v>270</v>
      </c>
      <c r="AE138" s="58">
        <f t="shared" si="184"/>
        <v>276</v>
      </c>
      <c r="AF138" s="21">
        <f t="shared" si="213"/>
        <v>3.1361756249999999</v>
      </c>
      <c r="AG138" s="77">
        <f t="shared" si="214"/>
        <v>0</v>
      </c>
      <c r="AH138" s="114">
        <f t="shared" si="224"/>
        <v>1</v>
      </c>
      <c r="AI138" s="59">
        <f t="shared" si="215"/>
        <v>105.82305218341317</v>
      </c>
      <c r="AJ138" s="59">
        <f t="shared" si="216"/>
        <v>98.776853952141707</v>
      </c>
      <c r="AK138" s="55">
        <v>8.6300000000000008</v>
      </c>
      <c r="AL138" s="55">
        <v>2.29</v>
      </c>
      <c r="AM138" s="21">
        <f t="shared" si="185"/>
        <v>9.8813500000000012</v>
      </c>
      <c r="AN138" s="54">
        <v>8.6300000000000008</v>
      </c>
      <c r="AO138" s="55">
        <v>0.155</v>
      </c>
      <c r="AP138" s="21">
        <f t="shared" si="186"/>
        <v>0.89176666666666671</v>
      </c>
      <c r="AQ138" s="55">
        <v>2.3559999999999999</v>
      </c>
      <c r="AR138" s="55">
        <v>0</v>
      </c>
      <c r="AS138" s="21">
        <f t="shared" si="187"/>
        <v>0</v>
      </c>
      <c r="AT138" s="54">
        <v>8.6560000000000006</v>
      </c>
      <c r="AU138" s="54">
        <v>0.75</v>
      </c>
      <c r="AV138" s="21">
        <f t="shared" si="188"/>
        <v>3.2460000000000004</v>
      </c>
      <c r="AW138" s="54">
        <v>1.952</v>
      </c>
      <c r="AX138" s="54">
        <v>2.1000000000000001E-2</v>
      </c>
      <c r="AY138" s="21">
        <f t="shared" si="189"/>
        <v>2.0496E-2</v>
      </c>
      <c r="AZ138" s="54">
        <v>6.8929999999999998</v>
      </c>
      <c r="BA138" s="54">
        <v>7.4999999999999997E-2</v>
      </c>
      <c r="BB138" s="21">
        <f t="shared" si="190"/>
        <v>0.34464999999999996</v>
      </c>
      <c r="BC138" s="54">
        <v>1.55</v>
      </c>
      <c r="BD138" s="54">
        <v>0.57199999999999995</v>
      </c>
      <c r="BE138" s="21">
        <f t="shared" si="191"/>
        <v>0.59106666666666663</v>
      </c>
      <c r="BF138" s="55"/>
      <c r="BG138" s="55"/>
      <c r="BH138" s="21">
        <f t="shared" si="192"/>
        <v>0</v>
      </c>
      <c r="BI138" s="55"/>
      <c r="BJ138" s="55"/>
      <c r="BK138" s="21">
        <f t="shared" si="193"/>
        <v>0</v>
      </c>
      <c r="BL138" s="55"/>
      <c r="BM138" s="55"/>
      <c r="BN138" s="21">
        <f t="shared" si="194"/>
        <v>0</v>
      </c>
      <c r="BO138" s="55"/>
      <c r="BP138" s="55"/>
      <c r="BQ138" s="21">
        <f t="shared" si="195"/>
        <v>0</v>
      </c>
      <c r="BR138" s="55"/>
      <c r="BS138" s="21">
        <f t="shared" si="196"/>
        <v>14.975329333333335</v>
      </c>
      <c r="BT138" s="56"/>
      <c r="BU138" s="56"/>
      <c r="BV138" s="21">
        <f t="shared" si="197"/>
        <v>0</v>
      </c>
      <c r="BW138" s="77">
        <f t="shared" si="217"/>
        <v>0</v>
      </c>
      <c r="BX138" s="55"/>
      <c r="BY138" s="21">
        <f t="shared" si="198"/>
        <v>0</v>
      </c>
      <c r="BZ138" s="55"/>
      <c r="CA138" s="55"/>
      <c r="CB138" s="21">
        <f t="shared" si="199"/>
        <v>0</v>
      </c>
      <c r="CC138" s="54"/>
      <c r="CD138" s="54"/>
      <c r="CE138" s="21">
        <f t="shared" si="200"/>
        <v>0</v>
      </c>
      <c r="CF138" s="21"/>
      <c r="CG138" s="21"/>
      <c r="CH138" s="21">
        <f t="shared" si="218"/>
        <v>0</v>
      </c>
      <c r="CI138" s="25">
        <f t="shared" si="219"/>
        <v>0</v>
      </c>
      <c r="CJ138" s="54">
        <v>0.35</v>
      </c>
      <c r="CK138" s="21">
        <f t="shared" si="220"/>
        <v>1.575</v>
      </c>
      <c r="CL138" s="55">
        <v>24</v>
      </c>
      <c r="CM138" s="55" t="s">
        <v>322</v>
      </c>
      <c r="CN138" s="60">
        <v>40343</v>
      </c>
      <c r="CO138"/>
      <c r="CP138" s="55">
        <v>0</v>
      </c>
      <c r="CQ138" s="55">
        <v>0</v>
      </c>
      <c r="CR138" s="55">
        <v>0</v>
      </c>
      <c r="CS138" s="55">
        <v>0</v>
      </c>
      <c r="CT138" s="55"/>
      <c r="CU138" s="55"/>
      <c r="CV138" s="55"/>
      <c r="CW138" s="55"/>
      <c r="CX138" s="55"/>
      <c r="CY138" s="21">
        <f t="shared" si="201"/>
        <v>0</v>
      </c>
      <c r="CZ138" s="56">
        <v>3.665</v>
      </c>
      <c r="DA138" s="56">
        <v>9.1</v>
      </c>
      <c r="DB138" s="56">
        <v>7.51</v>
      </c>
      <c r="DC138" s="56">
        <v>2.86</v>
      </c>
      <c r="DD138" s="61">
        <f t="shared" si="221"/>
        <v>0.78035470668485674</v>
      </c>
      <c r="DE138" s="21">
        <f t="shared" si="222"/>
        <v>20.907837499999999</v>
      </c>
      <c r="DF138" s="55"/>
      <c r="DG138" s="55"/>
      <c r="DH138" s="55"/>
      <c r="DI138" s="55"/>
      <c r="DJ138" s="104"/>
      <c r="DK138" s="50" t="s">
        <v>301</v>
      </c>
      <c r="DM138" s="58">
        <f t="shared" si="205"/>
        <v>742.70659668202177</v>
      </c>
      <c r="DN138" s="58">
        <f t="shared" si="202"/>
        <v>763.2</v>
      </c>
      <c r="DO138" s="21">
        <f t="shared" si="203"/>
        <v>1.0275928656208666</v>
      </c>
      <c r="DP138" s="62">
        <f t="shared" si="204"/>
        <v>1</v>
      </c>
      <c r="DQ138" s="7">
        <v>0</v>
      </c>
      <c r="DR138" s="107">
        <f t="shared" si="206"/>
        <v>0</v>
      </c>
    </row>
    <row r="139" spans="1:122" ht="12.75" customHeight="1" x14ac:dyDescent="0.2">
      <c r="A139" s="53" t="s">
        <v>324</v>
      </c>
      <c r="B139" s="54">
        <v>2</v>
      </c>
      <c r="C139" s="92">
        <f t="shared" si="207"/>
        <v>82.728659437430949</v>
      </c>
      <c r="D139" s="92">
        <f t="shared" si="208"/>
        <v>81.192320367842512</v>
      </c>
      <c r="E139" s="92">
        <f>VLOOKUP(A139,[3]TRTOTAL!$A$7:$D$313,3,FALSE)</f>
        <v>82.728659437430949</v>
      </c>
      <c r="F139" s="92">
        <f>VLOOKUP(A139,[3]TRTOTAL!$A$7:$D$313,4,FALSE)</f>
        <v>81.192320367842512</v>
      </c>
      <c r="G139" s="92">
        <f t="shared" si="209"/>
        <v>0</v>
      </c>
      <c r="H139" s="92">
        <f t="shared" si="210"/>
        <v>0</v>
      </c>
      <c r="I139" s="54">
        <v>6.07</v>
      </c>
      <c r="J139" s="56">
        <v>6.06</v>
      </c>
      <c r="K139" s="54">
        <v>2.92</v>
      </c>
      <c r="L139" s="57">
        <v>2</v>
      </c>
      <c r="M139" s="57"/>
      <c r="N139" s="57">
        <v>127</v>
      </c>
      <c r="O139" s="87"/>
      <c r="P139" s="24">
        <f t="shared" si="175"/>
        <v>22.231382999999997</v>
      </c>
      <c r="Q139" s="24">
        <f t="shared" si="176"/>
        <v>9.9939999999999998</v>
      </c>
      <c r="R139" s="24">
        <f t="shared" si="177"/>
        <v>18.878133333333331</v>
      </c>
      <c r="S139" s="87">
        <v>10.5</v>
      </c>
      <c r="T139" s="21">
        <f t="shared" si="178"/>
        <v>8.3706999999999994</v>
      </c>
      <c r="U139" s="21"/>
      <c r="V139" s="24">
        <f t="shared" si="179"/>
        <v>2.4769999999999999</v>
      </c>
      <c r="W139" s="24">
        <f t="shared" si="180"/>
        <v>2.6519999999999997</v>
      </c>
      <c r="X139" s="24">
        <f t="shared" si="181"/>
        <v>3.1609632105539749</v>
      </c>
      <c r="Y139" s="25">
        <f t="shared" si="223"/>
        <v>1</v>
      </c>
      <c r="Z139" s="24">
        <f t="shared" si="211"/>
        <v>21.037160279473426</v>
      </c>
      <c r="AA139" s="21">
        <f t="shared" si="182"/>
        <v>1.1566349704277357</v>
      </c>
      <c r="AB139" s="24">
        <f t="shared" si="212"/>
        <v>14.198760745410661</v>
      </c>
      <c r="AC139" s="24">
        <f t="shared" si="142"/>
        <v>37.589407127980699</v>
      </c>
      <c r="AD139" s="58">
        <f t="shared" si="183"/>
        <v>271</v>
      </c>
      <c r="AE139" s="58">
        <f t="shared" si="184"/>
        <v>277</v>
      </c>
      <c r="AF139" s="21">
        <f t="shared" si="213"/>
        <v>4.199325</v>
      </c>
      <c r="AG139" s="77">
        <f t="shared" si="214"/>
        <v>0</v>
      </c>
      <c r="AH139" s="114">
        <f t="shared" si="224"/>
        <v>1</v>
      </c>
      <c r="AI139" s="59">
        <f t="shared" si="215"/>
        <v>75.245605406050544</v>
      </c>
      <c r="AJ139" s="59">
        <f t="shared" si="216"/>
        <v>73.848232788311194</v>
      </c>
      <c r="AK139" s="55">
        <v>9.9939999999999998</v>
      </c>
      <c r="AL139" s="55">
        <v>2.4769999999999999</v>
      </c>
      <c r="AM139" s="21">
        <f t="shared" si="185"/>
        <v>12.377568999999999</v>
      </c>
      <c r="AN139" s="54">
        <v>9.9939999999999998</v>
      </c>
      <c r="AO139" s="55">
        <v>0.12</v>
      </c>
      <c r="AP139" s="21">
        <f t="shared" si="186"/>
        <v>0.7995199999999999</v>
      </c>
      <c r="AQ139" s="55">
        <v>2.4769999999999999</v>
      </c>
      <c r="AR139" s="55">
        <v>0</v>
      </c>
      <c r="AS139" s="21">
        <f t="shared" si="187"/>
        <v>0</v>
      </c>
      <c r="AT139" s="54">
        <v>9.8450000000000006</v>
      </c>
      <c r="AU139" s="54">
        <v>1.02</v>
      </c>
      <c r="AV139" s="21">
        <f t="shared" si="188"/>
        <v>5.02095</v>
      </c>
      <c r="AW139" s="54">
        <v>3.1819999999999999</v>
      </c>
      <c r="AX139" s="54">
        <v>0.96399999999999997</v>
      </c>
      <c r="AY139" s="21">
        <f t="shared" si="189"/>
        <v>1.5337239999999999</v>
      </c>
      <c r="AZ139" s="54">
        <v>6.9139999999999997</v>
      </c>
      <c r="BA139" s="54">
        <v>0.126</v>
      </c>
      <c r="BB139" s="21">
        <f t="shared" si="190"/>
        <v>0.58077599999999996</v>
      </c>
      <c r="BC139" s="54">
        <v>2.976</v>
      </c>
      <c r="BD139" s="54">
        <v>4.1000000000000002E-2</v>
      </c>
      <c r="BE139" s="21">
        <f t="shared" si="191"/>
        <v>8.1344E-2</v>
      </c>
      <c r="BF139" s="55"/>
      <c r="BG139" s="55"/>
      <c r="BH139" s="21">
        <f t="shared" si="192"/>
        <v>0</v>
      </c>
      <c r="BI139" s="55"/>
      <c r="BJ139" s="55"/>
      <c r="BK139" s="21">
        <f t="shared" si="193"/>
        <v>0</v>
      </c>
      <c r="BL139" s="55"/>
      <c r="BM139" s="55"/>
      <c r="BN139" s="21">
        <f t="shared" si="194"/>
        <v>0</v>
      </c>
      <c r="BO139" s="55"/>
      <c r="BP139" s="55"/>
      <c r="BQ139" s="21">
        <f t="shared" si="195"/>
        <v>0</v>
      </c>
      <c r="BR139" s="55"/>
      <c r="BS139" s="21">
        <f t="shared" si="196"/>
        <v>20.393882999999999</v>
      </c>
      <c r="BT139" s="56">
        <v>8.9049999999999994</v>
      </c>
      <c r="BU139" s="56">
        <v>4.04</v>
      </c>
      <c r="BV139" s="21">
        <f t="shared" si="197"/>
        <v>17.988099999999999</v>
      </c>
      <c r="BW139" s="77">
        <f t="shared" si="217"/>
        <v>8.9049999999999994</v>
      </c>
      <c r="BX139" s="55">
        <v>0.19</v>
      </c>
      <c r="BY139" s="21">
        <f t="shared" si="198"/>
        <v>1.1279666666666666</v>
      </c>
      <c r="BZ139" s="55">
        <v>7.93</v>
      </c>
      <c r="CA139" s="55">
        <v>-0.09</v>
      </c>
      <c r="CB139" s="21">
        <f t="shared" si="199"/>
        <v>-0.4758</v>
      </c>
      <c r="CC139" s="54">
        <v>4.46</v>
      </c>
      <c r="CD139" s="54">
        <v>0.08</v>
      </c>
      <c r="CE139" s="21">
        <f t="shared" si="200"/>
        <v>0.23786666666666667</v>
      </c>
      <c r="CF139" s="21"/>
      <c r="CG139" s="21"/>
      <c r="CH139" s="21">
        <f t="shared" si="218"/>
        <v>0</v>
      </c>
      <c r="CI139" s="25">
        <f t="shared" si="219"/>
        <v>18.878133333333331</v>
      </c>
      <c r="CJ139" s="54">
        <v>0.35</v>
      </c>
      <c r="CK139" s="21">
        <f t="shared" si="220"/>
        <v>1.8374999999999999</v>
      </c>
      <c r="CL139" s="55" t="s">
        <v>321</v>
      </c>
      <c r="CM139" s="55" t="s">
        <v>322</v>
      </c>
      <c r="CN139" s="60">
        <v>40254</v>
      </c>
      <c r="CO139" s="55" t="s">
        <v>325</v>
      </c>
      <c r="CP139" s="55">
        <v>190158</v>
      </c>
      <c r="CQ139" s="55">
        <v>0</v>
      </c>
      <c r="CR139" s="55">
        <v>0</v>
      </c>
      <c r="CS139" s="55">
        <v>0</v>
      </c>
      <c r="CT139" s="55"/>
      <c r="CU139" s="55"/>
      <c r="CV139" s="55"/>
      <c r="CW139" s="55"/>
      <c r="CX139" s="55"/>
      <c r="CY139" s="21">
        <f t="shared" si="201"/>
        <v>0</v>
      </c>
      <c r="CZ139" s="56">
        <v>4.7</v>
      </c>
      <c r="DA139" s="56">
        <v>9.3000000000000007</v>
      </c>
      <c r="DB139" s="56">
        <v>8.4</v>
      </c>
      <c r="DC139" s="56">
        <v>3.57</v>
      </c>
      <c r="DD139" s="61">
        <f t="shared" si="221"/>
        <v>0.75957446808510631</v>
      </c>
      <c r="DE139" s="21">
        <f t="shared" si="222"/>
        <v>27.995500000000003</v>
      </c>
      <c r="DF139" s="55"/>
      <c r="DG139" s="55"/>
      <c r="DH139" s="55"/>
      <c r="DI139" s="55"/>
      <c r="DJ139" s="104"/>
      <c r="DK139" s="50" t="s">
        <v>326</v>
      </c>
      <c r="DM139" s="58">
        <f t="shared" si="205"/>
        <v>1810.4442498102198</v>
      </c>
      <c r="DN139" s="58">
        <f t="shared" si="202"/>
        <v>764.66</v>
      </c>
      <c r="DO139" s="21">
        <f t="shared" si="203"/>
        <v>0.42236042345968711</v>
      </c>
      <c r="DP139" s="62">
        <f t="shared" si="204"/>
        <v>1.0994483862678668</v>
      </c>
      <c r="DQ139" s="7">
        <v>0</v>
      </c>
      <c r="DR139" s="107">
        <f t="shared" si="206"/>
        <v>0</v>
      </c>
    </row>
    <row r="140" spans="1:122" ht="12.75" customHeight="1" x14ac:dyDescent="0.2">
      <c r="A140" s="53" t="s">
        <v>327</v>
      </c>
      <c r="B140" s="54">
        <v>2</v>
      </c>
      <c r="C140" s="92">
        <f t="shared" si="207"/>
        <v>102.09159837090721</v>
      </c>
      <c r="D140" s="92">
        <f t="shared" si="208"/>
        <v>94.600948731120994</v>
      </c>
      <c r="E140" s="92">
        <f>VLOOKUP(A140,[3]TRTOTAL!$A$7:$D$313,3,FALSE)</f>
        <v>102.09159837090721</v>
      </c>
      <c r="F140" s="92">
        <f>VLOOKUP(A140,[3]TRTOTAL!$A$7:$D$313,4,FALSE)</f>
        <v>94.600948731120994</v>
      </c>
      <c r="G140" s="92">
        <f t="shared" si="209"/>
        <v>0</v>
      </c>
      <c r="H140" s="92">
        <f t="shared" si="210"/>
        <v>0</v>
      </c>
      <c r="I140" s="54">
        <v>6.07</v>
      </c>
      <c r="J140" s="56">
        <v>6.06</v>
      </c>
      <c r="K140" s="54">
        <v>3.52</v>
      </c>
      <c r="L140" s="58">
        <v>2</v>
      </c>
      <c r="M140" s="57">
        <v>0</v>
      </c>
      <c r="N140" s="57">
        <v>132.5</v>
      </c>
      <c r="O140" s="87"/>
      <c r="P140" s="24">
        <f t="shared" si="175"/>
        <v>18.066116666666666</v>
      </c>
      <c r="Q140" s="24">
        <f t="shared" si="176"/>
        <v>8.89</v>
      </c>
      <c r="R140" s="24">
        <f t="shared" si="177"/>
        <v>0</v>
      </c>
      <c r="S140" s="87">
        <v>10.5</v>
      </c>
      <c r="T140" s="21">
        <f t="shared" si="178"/>
        <v>0</v>
      </c>
      <c r="U140" s="21"/>
      <c r="V140" s="24">
        <f t="shared" si="179"/>
        <v>2.31</v>
      </c>
      <c r="W140" s="24">
        <f t="shared" si="180"/>
        <v>2.4849999999999999</v>
      </c>
      <c r="X140" s="24">
        <f t="shared" si="181"/>
        <v>2.9255803094893982</v>
      </c>
      <c r="Y140" s="25">
        <f t="shared" si="223"/>
        <v>1</v>
      </c>
      <c r="Z140" s="24">
        <f t="shared" si="211"/>
        <v>16.703336119996909</v>
      </c>
      <c r="AA140" s="21">
        <f t="shared" si="182"/>
        <v>0</v>
      </c>
      <c r="AB140" s="24">
        <f t="shared" si="212"/>
        <v>0</v>
      </c>
      <c r="AC140" s="24">
        <f t="shared" si="142"/>
        <v>20.564336119996909</v>
      </c>
      <c r="AD140" s="58">
        <f t="shared" si="183"/>
        <v>276.5</v>
      </c>
      <c r="AE140" s="58">
        <f t="shared" si="184"/>
        <v>282.5</v>
      </c>
      <c r="AF140" s="21">
        <f t="shared" si="213"/>
        <v>3.8609999999999998</v>
      </c>
      <c r="AG140" s="77">
        <f t="shared" si="214"/>
        <v>0</v>
      </c>
      <c r="AH140" s="114">
        <f t="shared" si="224"/>
        <v>1</v>
      </c>
      <c r="AI140" s="59">
        <f t="shared" si="215"/>
        <v>102.09159837090721</v>
      </c>
      <c r="AJ140" s="59">
        <f t="shared" si="216"/>
        <v>94.600948731120994</v>
      </c>
      <c r="AK140" s="55">
        <v>8.89</v>
      </c>
      <c r="AL140" s="55">
        <v>2.31</v>
      </c>
      <c r="AM140" s="21">
        <f t="shared" si="185"/>
        <v>10.267950000000001</v>
      </c>
      <c r="AN140" s="54">
        <f>AK140</f>
        <v>8.89</v>
      </c>
      <c r="AO140" s="55">
        <v>0.13</v>
      </c>
      <c r="AP140" s="21">
        <f t="shared" si="186"/>
        <v>0.77046666666666674</v>
      </c>
      <c r="AQ140" s="55">
        <v>2.38</v>
      </c>
      <c r="AR140" s="55">
        <v>0</v>
      </c>
      <c r="AS140" s="21">
        <f t="shared" si="187"/>
        <v>0</v>
      </c>
      <c r="AT140" s="54">
        <v>8.6300000000000008</v>
      </c>
      <c r="AU140" s="54">
        <v>0.76</v>
      </c>
      <c r="AV140" s="21">
        <f t="shared" si="188"/>
        <v>3.2794000000000003</v>
      </c>
      <c r="AW140" s="54">
        <v>0</v>
      </c>
      <c r="AX140" s="54">
        <v>0</v>
      </c>
      <c r="AY140" s="21">
        <f t="shared" si="189"/>
        <v>0</v>
      </c>
      <c r="AZ140" s="54">
        <v>8.43</v>
      </c>
      <c r="BA140" s="54">
        <v>0.34</v>
      </c>
      <c r="BB140" s="21">
        <f t="shared" si="190"/>
        <v>1.9108000000000001</v>
      </c>
      <c r="BC140" s="54">
        <v>0</v>
      </c>
      <c r="BD140" s="54">
        <v>0</v>
      </c>
      <c r="BE140" s="21">
        <f t="shared" si="191"/>
        <v>0</v>
      </c>
      <c r="BF140" s="55">
        <v>0</v>
      </c>
      <c r="BG140" s="55">
        <v>0</v>
      </c>
      <c r="BH140" s="21">
        <f t="shared" si="192"/>
        <v>0</v>
      </c>
      <c r="BI140" s="55">
        <v>0</v>
      </c>
      <c r="BJ140" s="55">
        <v>0</v>
      </c>
      <c r="BK140" s="21">
        <f t="shared" si="193"/>
        <v>0</v>
      </c>
      <c r="BL140" s="55">
        <v>0</v>
      </c>
      <c r="BM140" s="55">
        <v>0</v>
      </c>
      <c r="BN140" s="21">
        <f t="shared" si="194"/>
        <v>0</v>
      </c>
      <c r="BO140" s="55">
        <v>0</v>
      </c>
      <c r="BP140" s="55">
        <v>0</v>
      </c>
      <c r="BQ140" s="21">
        <f t="shared" si="195"/>
        <v>0</v>
      </c>
      <c r="BR140" s="55">
        <v>0</v>
      </c>
      <c r="BS140" s="21">
        <f t="shared" si="196"/>
        <v>16.228616666666667</v>
      </c>
      <c r="BT140" s="56">
        <v>0</v>
      </c>
      <c r="BU140" s="56">
        <v>0</v>
      </c>
      <c r="BV140" s="21">
        <f t="shared" si="197"/>
        <v>0</v>
      </c>
      <c r="BW140" s="77">
        <f t="shared" si="217"/>
        <v>0</v>
      </c>
      <c r="BX140" s="55">
        <v>0</v>
      </c>
      <c r="BY140" s="21">
        <f t="shared" si="198"/>
        <v>0</v>
      </c>
      <c r="BZ140" s="55">
        <v>0</v>
      </c>
      <c r="CA140" s="55">
        <v>0</v>
      </c>
      <c r="CB140" s="21">
        <f t="shared" si="199"/>
        <v>0</v>
      </c>
      <c r="CC140" s="54">
        <v>0</v>
      </c>
      <c r="CD140" s="54">
        <v>0</v>
      </c>
      <c r="CE140" s="21">
        <f t="shared" si="200"/>
        <v>0</v>
      </c>
      <c r="CF140" s="21"/>
      <c r="CG140" s="21"/>
      <c r="CH140" s="21">
        <f t="shared" si="218"/>
        <v>0</v>
      </c>
      <c r="CI140" s="25">
        <f t="shared" si="219"/>
        <v>0</v>
      </c>
      <c r="CJ140" s="54">
        <v>0.35</v>
      </c>
      <c r="CK140" s="21">
        <f t="shared" si="220"/>
        <v>1.8374999999999999</v>
      </c>
      <c r="CL140" s="55" t="s">
        <v>328</v>
      </c>
      <c r="CM140" s="55" t="s">
        <v>329</v>
      </c>
      <c r="CN140" s="60">
        <v>40347</v>
      </c>
      <c r="CO140" s="55" t="s">
        <v>200</v>
      </c>
      <c r="CP140" s="55" t="s">
        <v>330</v>
      </c>
      <c r="CQ140" s="55">
        <v>0</v>
      </c>
      <c r="CR140" s="55">
        <v>0</v>
      </c>
      <c r="CS140" s="55">
        <v>0</v>
      </c>
      <c r="CT140" s="55"/>
      <c r="CU140" s="55"/>
      <c r="CV140" s="55"/>
      <c r="CW140" s="55"/>
      <c r="CX140" s="55"/>
      <c r="CY140" s="21">
        <f t="shared" si="201"/>
        <v>0</v>
      </c>
      <c r="CZ140" s="56">
        <v>0</v>
      </c>
      <c r="DA140" s="56">
        <v>0</v>
      </c>
      <c r="DB140" s="56">
        <v>0</v>
      </c>
      <c r="DC140" s="56">
        <v>0</v>
      </c>
      <c r="DD140" s="61">
        <f t="shared" si="221"/>
        <v>0</v>
      </c>
      <c r="DE140" s="21">
        <f t="shared" si="222"/>
        <v>25.74</v>
      </c>
      <c r="DF140" s="55"/>
      <c r="DG140" s="55"/>
      <c r="DH140" s="55"/>
      <c r="DI140" s="55">
        <v>25.74</v>
      </c>
      <c r="DJ140" s="104"/>
      <c r="DK140" s="50" t="s">
        <v>301</v>
      </c>
      <c r="DM140" s="58">
        <f t="shared" si="205"/>
        <v>829.8721345333887</v>
      </c>
      <c r="DN140" s="58">
        <f t="shared" si="202"/>
        <v>900.64</v>
      </c>
      <c r="DO140" s="21">
        <f t="shared" si="203"/>
        <v>1.0852756256316545</v>
      </c>
      <c r="DP140" s="62">
        <f t="shared" si="204"/>
        <v>1</v>
      </c>
      <c r="DQ140" s="7">
        <v>0</v>
      </c>
      <c r="DR140" s="107">
        <f t="shared" si="206"/>
        <v>0</v>
      </c>
    </row>
    <row r="141" spans="1:122" ht="12.75" customHeight="1" x14ac:dyDescent="0.2">
      <c r="A141" s="53" t="s">
        <v>331</v>
      </c>
      <c r="B141" s="54">
        <v>2</v>
      </c>
      <c r="C141" s="92">
        <f t="shared" si="207"/>
        <v>96.833535308751181</v>
      </c>
      <c r="D141" s="92">
        <f t="shared" si="208"/>
        <v>91.170098657715357</v>
      </c>
      <c r="E141" s="92">
        <f>VLOOKUP(A141,[3]TRTOTAL!$A$7:$D$313,3,FALSE)</f>
        <v>96.833535308751181</v>
      </c>
      <c r="F141" s="92">
        <f>VLOOKUP(A141,[3]TRTOTAL!$A$7:$D$313,4,FALSE)</f>
        <v>91.170098657715357</v>
      </c>
      <c r="G141" s="92">
        <f t="shared" si="209"/>
        <v>0</v>
      </c>
      <c r="H141" s="92">
        <f t="shared" si="210"/>
        <v>0</v>
      </c>
      <c r="I141" s="54">
        <v>6.07</v>
      </c>
      <c r="J141" s="56">
        <v>6.06</v>
      </c>
      <c r="K141" s="54">
        <v>3.52</v>
      </c>
      <c r="L141" s="57">
        <v>2</v>
      </c>
      <c r="M141" s="57"/>
      <c r="N141" s="57">
        <v>133</v>
      </c>
      <c r="O141" s="87"/>
      <c r="P141" s="24">
        <f t="shared" si="175"/>
        <v>20.754966666666668</v>
      </c>
      <c r="Q141" s="24">
        <f t="shared" si="176"/>
        <v>10.25</v>
      </c>
      <c r="R141" s="24">
        <f t="shared" si="177"/>
        <v>0</v>
      </c>
      <c r="S141" s="87">
        <v>10.5</v>
      </c>
      <c r="T141" s="21">
        <f t="shared" si="178"/>
        <v>0</v>
      </c>
      <c r="U141" s="21"/>
      <c r="V141" s="24">
        <f t="shared" si="179"/>
        <v>2.31</v>
      </c>
      <c r="W141" s="24">
        <f t="shared" si="180"/>
        <v>2.4849999999999999</v>
      </c>
      <c r="X141" s="24">
        <f t="shared" si="181"/>
        <v>3.3610057393320356</v>
      </c>
      <c r="Y141" s="25">
        <f t="shared" si="223"/>
        <v>1</v>
      </c>
      <c r="Z141" s="24">
        <f t="shared" si="211"/>
        <v>20.004956858644466</v>
      </c>
      <c r="AA141" s="21">
        <f t="shared" si="182"/>
        <v>0</v>
      </c>
      <c r="AB141" s="24">
        <f t="shared" si="212"/>
        <v>0</v>
      </c>
      <c r="AC141" s="24">
        <f t="shared" si="142"/>
        <v>23.666426858644467</v>
      </c>
      <c r="AD141" s="58">
        <f t="shared" si="183"/>
        <v>277</v>
      </c>
      <c r="AE141" s="58">
        <f t="shared" si="184"/>
        <v>283</v>
      </c>
      <c r="AF141" s="21">
        <f t="shared" si="213"/>
        <v>3.66147</v>
      </c>
      <c r="AG141" s="77">
        <f t="shared" si="214"/>
        <v>0</v>
      </c>
      <c r="AH141" s="114">
        <f t="shared" si="224"/>
        <v>1</v>
      </c>
      <c r="AI141" s="59">
        <f t="shared" si="215"/>
        <v>95.041055251498605</v>
      </c>
      <c r="AJ141" s="59">
        <f t="shared" si="216"/>
        <v>89.482454153766994</v>
      </c>
      <c r="AK141" s="55">
        <v>10.25</v>
      </c>
      <c r="AL141" s="55">
        <v>2.31</v>
      </c>
      <c r="AM141" s="21">
        <f t="shared" si="185"/>
        <v>11.838750000000001</v>
      </c>
      <c r="AN141" s="54">
        <v>10.25</v>
      </c>
      <c r="AO141" s="55">
        <v>0.14000000000000001</v>
      </c>
      <c r="AP141" s="21">
        <f t="shared" si="186"/>
        <v>0.95666666666666667</v>
      </c>
      <c r="AQ141" s="55"/>
      <c r="AR141" s="55">
        <v>0</v>
      </c>
      <c r="AS141" s="21">
        <f t="shared" si="187"/>
        <v>0</v>
      </c>
      <c r="AT141" s="54">
        <v>9.77</v>
      </c>
      <c r="AU141" s="54">
        <v>0.77</v>
      </c>
      <c r="AV141" s="21">
        <f t="shared" si="188"/>
        <v>3.76145</v>
      </c>
      <c r="AW141" s="54"/>
      <c r="AX141" s="54"/>
      <c r="AY141" s="21">
        <f t="shared" si="189"/>
        <v>0</v>
      </c>
      <c r="AZ141" s="54">
        <v>9.57</v>
      </c>
      <c r="BA141" s="54">
        <v>0.37</v>
      </c>
      <c r="BB141" s="21">
        <f t="shared" si="190"/>
        <v>2.3606000000000003</v>
      </c>
      <c r="BC141" s="54"/>
      <c r="BD141" s="54"/>
      <c r="BE141" s="21">
        <f t="shared" si="191"/>
        <v>0</v>
      </c>
      <c r="BF141" s="55"/>
      <c r="BG141" s="55"/>
      <c r="BH141" s="21">
        <f t="shared" si="192"/>
        <v>0</v>
      </c>
      <c r="BI141" s="55">
        <v>0</v>
      </c>
      <c r="BJ141" s="55">
        <v>0</v>
      </c>
      <c r="BK141" s="21">
        <f t="shared" si="193"/>
        <v>0</v>
      </c>
      <c r="BL141" s="55">
        <v>0</v>
      </c>
      <c r="BM141" s="55">
        <v>0</v>
      </c>
      <c r="BN141" s="21">
        <f t="shared" si="194"/>
        <v>0</v>
      </c>
      <c r="BO141" s="55">
        <v>0</v>
      </c>
      <c r="BP141" s="55">
        <v>0</v>
      </c>
      <c r="BQ141" s="21">
        <f t="shared" si="195"/>
        <v>0</v>
      </c>
      <c r="BR141" s="55">
        <v>0</v>
      </c>
      <c r="BS141" s="21">
        <f t="shared" si="196"/>
        <v>18.91746666666667</v>
      </c>
      <c r="BT141" s="56">
        <v>0</v>
      </c>
      <c r="BU141" s="56"/>
      <c r="BV141" s="21">
        <f t="shared" si="197"/>
        <v>0</v>
      </c>
      <c r="BW141" s="77">
        <f t="shared" si="217"/>
        <v>0</v>
      </c>
      <c r="BX141" s="55"/>
      <c r="BY141" s="21">
        <f t="shared" si="198"/>
        <v>0</v>
      </c>
      <c r="BZ141" s="55"/>
      <c r="CA141" s="55"/>
      <c r="CB141" s="21">
        <f t="shared" si="199"/>
        <v>0</v>
      </c>
      <c r="CC141" s="54"/>
      <c r="CD141" s="54"/>
      <c r="CE141" s="21">
        <f t="shared" si="200"/>
        <v>0</v>
      </c>
      <c r="CF141" s="21"/>
      <c r="CG141" s="21"/>
      <c r="CH141" s="21">
        <f t="shared" si="218"/>
        <v>0</v>
      </c>
      <c r="CI141" s="25">
        <f t="shared" si="219"/>
        <v>0</v>
      </c>
      <c r="CJ141" s="54">
        <v>0.35</v>
      </c>
      <c r="CK141" s="21">
        <f t="shared" si="220"/>
        <v>1.8374999999999999</v>
      </c>
      <c r="CL141" s="55">
        <v>24</v>
      </c>
      <c r="CM141" s="55" t="s">
        <v>332</v>
      </c>
      <c r="CN141" s="60">
        <v>38118</v>
      </c>
      <c r="CO141" s="55" t="s">
        <v>295</v>
      </c>
      <c r="CP141" s="55">
        <v>0</v>
      </c>
      <c r="CQ141" s="55">
        <v>0</v>
      </c>
      <c r="CR141" s="55">
        <v>0</v>
      </c>
      <c r="CS141" s="55">
        <v>0</v>
      </c>
      <c r="CT141" s="55"/>
      <c r="CU141" s="55"/>
      <c r="CV141" s="55"/>
      <c r="CW141" s="55"/>
      <c r="CX141" s="55"/>
      <c r="CY141" s="21">
        <f t="shared" si="201"/>
        <v>0</v>
      </c>
      <c r="CZ141" s="56">
        <v>4.03</v>
      </c>
      <c r="DA141" s="56">
        <v>9.07</v>
      </c>
      <c r="DB141" s="56">
        <v>7.97</v>
      </c>
      <c r="DC141" s="56">
        <v>3.29</v>
      </c>
      <c r="DD141" s="61">
        <f t="shared" si="221"/>
        <v>0.81637717121588083</v>
      </c>
      <c r="DE141" s="21">
        <f t="shared" si="222"/>
        <v>24.409800000000001</v>
      </c>
      <c r="DF141" s="55"/>
      <c r="DG141" s="55"/>
      <c r="DH141" s="55"/>
      <c r="DI141" s="55"/>
      <c r="DJ141" s="104"/>
      <c r="DK141" s="53" t="s">
        <v>333</v>
      </c>
      <c r="DM141" s="58">
        <f t="shared" si="205"/>
        <v>1068.4246389779198</v>
      </c>
      <c r="DN141" s="58">
        <f t="shared" si="202"/>
        <v>901.52</v>
      </c>
      <c r="DO141" s="21">
        <f t="shared" si="203"/>
        <v>0.84378435980511945</v>
      </c>
      <c r="DP141" s="62">
        <f t="shared" si="204"/>
        <v>1.0188600605549811</v>
      </c>
      <c r="DQ141" s="7">
        <v>0</v>
      </c>
      <c r="DR141" s="107">
        <f t="shared" si="206"/>
        <v>0</v>
      </c>
    </row>
    <row r="142" spans="1:122" ht="12.75" customHeight="1" x14ac:dyDescent="0.2">
      <c r="A142" s="53" t="s">
        <v>331</v>
      </c>
      <c r="B142" s="54">
        <v>2</v>
      </c>
      <c r="C142" s="92">
        <f t="shared" si="207"/>
        <v>96.833535308751181</v>
      </c>
      <c r="D142" s="92">
        <f t="shared" si="208"/>
        <v>91.170098657715357</v>
      </c>
      <c r="E142" s="92">
        <f>VLOOKUP(A142,[3]TRTOTAL!$A$7:$D$313,3,FALSE)</f>
        <v>96.833535308751181</v>
      </c>
      <c r="F142" s="92">
        <f>VLOOKUP(A142,[3]TRTOTAL!$A$7:$D$313,4,FALSE)</f>
        <v>91.170098657715357</v>
      </c>
      <c r="G142" s="92">
        <f t="shared" si="209"/>
        <v>0</v>
      </c>
      <c r="H142" s="92">
        <f t="shared" si="210"/>
        <v>0</v>
      </c>
      <c r="I142" s="54">
        <v>6.07</v>
      </c>
      <c r="J142" s="56">
        <v>6.06</v>
      </c>
      <c r="K142" s="54">
        <v>3.52</v>
      </c>
      <c r="L142" s="57">
        <v>2</v>
      </c>
      <c r="M142" s="57"/>
      <c r="N142" s="57">
        <v>133</v>
      </c>
      <c r="O142" s="87"/>
      <c r="P142" s="24">
        <f t="shared" si="175"/>
        <v>20.754966666666668</v>
      </c>
      <c r="Q142" s="24">
        <f t="shared" si="176"/>
        <v>10.25</v>
      </c>
      <c r="R142" s="24">
        <f t="shared" si="177"/>
        <v>0</v>
      </c>
      <c r="S142" s="87">
        <v>10.5</v>
      </c>
      <c r="T142" s="21">
        <f t="shared" si="178"/>
        <v>0</v>
      </c>
      <c r="U142" s="21"/>
      <c r="V142" s="24">
        <f t="shared" si="179"/>
        <v>2.31</v>
      </c>
      <c r="W142" s="24">
        <f t="shared" si="180"/>
        <v>2.4849999999999999</v>
      </c>
      <c r="X142" s="24">
        <f t="shared" si="181"/>
        <v>3.3610057393320356</v>
      </c>
      <c r="Y142" s="25">
        <f t="shared" si="223"/>
        <v>1</v>
      </c>
      <c r="Z142" s="24">
        <f t="shared" si="211"/>
        <v>20.004956858644466</v>
      </c>
      <c r="AA142" s="21">
        <f t="shared" si="182"/>
        <v>0</v>
      </c>
      <c r="AB142" s="24">
        <f t="shared" si="212"/>
        <v>0</v>
      </c>
      <c r="AC142" s="24">
        <f t="shared" si="142"/>
        <v>23.666426858644467</v>
      </c>
      <c r="AD142" s="58">
        <f t="shared" si="183"/>
        <v>277</v>
      </c>
      <c r="AE142" s="58">
        <f t="shared" si="184"/>
        <v>283</v>
      </c>
      <c r="AF142" s="21">
        <f t="shared" si="213"/>
        <v>3.66147</v>
      </c>
      <c r="AG142" s="77">
        <f t="shared" si="214"/>
        <v>0</v>
      </c>
      <c r="AH142" s="114">
        <f t="shared" si="224"/>
        <v>1</v>
      </c>
      <c r="AI142" s="59">
        <f t="shared" si="215"/>
        <v>95.041055251498605</v>
      </c>
      <c r="AJ142" s="59">
        <f t="shared" si="216"/>
        <v>89.482454153766994</v>
      </c>
      <c r="AK142" s="55">
        <v>10.25</v>
      </c>
      <c r="AL142" s="55">
        <v>2.31</v>
      </c>
      <c r="AM142" s="21">
        <f t="shared" si="185"/>
        <v>11.838750000000001</v>
      </c>
      <c r="AN142" s="54">
        <v>10.25</v>
      </c>
      <c r="AO142" s="55">
        <v>0.14000000000000001</v>
      </c>
      <c r="AP142" s="21">
        <f t="shared" si="186"/>
        <v>0.95666666666666667</v>
      </c>
      <c r="AQ142" s="55"/>
      <c r="AR142" s="55">
        <v>0</v>
      </c>
      <c r="AS142" s="21">
        <f t="shared" si="187"/>
        <v>0</v>
      </c>
      <c r="AT142" s="54">
        <v>9.77</v>
      </c>
      <c r="AU142" s="54">
        <v>0.77</v>
      </c>
      <c r="AV142" s="21">
        <f t="shared" si="188"/>
        <v>3.76145</v>
      </c>
      <c r="AW142" s="54"/>
      <c r="AX142" s="54"/>
      <c r="AY142" s="21">
        <f t="shared" si="189"/>
        <v>0</v>
      </c>
      <c r="AZ142" s="54">
        <v>9.57</v>
      </c>
      <c r="BA142" s="54">
        <v>0.37</v>
      </c>
      <c r="BB142" s="21">
        <f t="shared" si="190"/>
        <v>2.3606000000000003</v>
      </c>
      <c r="BC142" s="54"/>
      <c r="BD142" s="54"/>
      <c r="BE142" s="21">
        <f t="shared" si="191"/>
        <v>0</v>
      </c>
      <c r="BF142" s="55"/>
      <c r="BG142" s="55"/>
      <c r="BH142" s="21">
        <f t="shared" si="192"/>
        <v>0</v>
      </c>
      <c r="BI142" s="55">
        <v>0</v>
      </c>
      <c r="BJ142" s="55">
        <v>0</v>
      </c>
      <c r="BK142" s="21">
        <f t="shared" si="193"/>
        <v>0</v>
      </c>
      <c r="BL142" s="55">
        <v>0</v>
      </c>
      <c r="BM142" s="55">
        <v>0</v>
      </c>
      <c r="BN142" s="21">
        <f t="shared" si="194"/>
        <v>0</v>
      </c>
      <c r="BO142" s="55">
        <v>0</v>
      </c>
      <c r="BP142" s="55">
        <v>0</v>
      </c>
      <c r="BQ142" s="21">
        <f t="shared" si="195"/>
        <v>0</v>
      </c>
      <c r="BR142" s="55">
        <v>0</v>
      </c>
      <c r="BS142" s="21">
        <f t="shared" si="196"/>
        <v>18.91746666666667</v>
      </c>
      <c r="BT142" s="56">
        <v>0</v>
      </c>
      <c r="BU142" s="56"/>
      <c r="BV142" s="21">
        <f t="shared" si="197"/>
        <v>0</v>
      </c>
      <c r="BW142" s="77">
        <f t="shared" si="217"/>
        <v>0</v>
      </c>
      <c r="BX142" s="55"/>
      <c r="BY142" s="21">
        <f t="shared" si="198"/>
        <v>0</v>
      </c>
      <c r="BZ142" s="55"/>
      <c r="CA142" s="55"/>
      <c r="CB142" s="21">
        <f t="shared" si="199"/>
        <v>0</v>
      </c>
      <c r="CC142" s="54"/>
      <c r="CD142" s="54"/>
      <c r="CE142" s="21">
        <f t="shared" si="200"/>
        <v>0</v>
      </c>
      <c r="CF142" s="21"/>
      <c r="CG142" s="21"/>
      <c r="CH142" s="21">
        <f t="shared" si="218"/>
        <v>0</v>
      </c>
      <c r="CI142" s="25">
        <f t="shared" si="219"/>
        <v>0</v>
      </c>
      <c r="CJ142" s="54">
        <v>0.35</v>
      </c>
      <c r="CK142" s="21">
        <f t="shared" si="220"/>
        <v>1.8374999999999999</v>
      </c>
      <c r="CL142" s="55">
        <v>24</v>
      </c>
      <c r="CM142" s="55" t="s">
        <v>332</v>
      </c>
      <c r="CN142" s="60">
        <v>38118</v>
      </c>
      <c r="CO142" s="55" t="s">
        <v>295</v>
      </c>
      <c r="CP142" s="55">
        <v>0</v>
      </c>
      <c r="CQ142" s="55">
        <v>0</v>
      </c>
      <c r="CR142" s="55">
        <v>0</v>
      </c>
      <c r="CS142" s="55">
        <v>0</v>
      </c>
      <c r="CT142" s="55"/>
      <c r="CU142" s="55"/>
      <c r="CV142" s="55"/>
      <c r="CW142" s="55"/>
      <c r="CX142" s="55"/>
      <c r="CY142" s="21">
        <f t="shared" si="201"/>
        <v>0</v>
      </c>
      <c r="CZ142" s="56">
        <v>4.03</v>
      </c>
      <c r="DA142" s="56">
        <v>9.07</v>
      </c>
      <c r="DB142" s="56">
        <v>7.97</v>
      </c>
      <c r="DC142" s="56">
        <v>3.29</v>
      </c>
      <c r="DD142" s="61">
        <f t="shared" si="221"/>
        <v>0.81637717121588083</v>
      </c>
      <c r="DE142" s="21">
        <f t="shared" si="222"/>
        <v>24.409800000000001</v>
      </c>
      <c r="DF142" s="55"/>
      <c r="DG142" s="55"/>
      <c r="DH142" s="55"/>
      <c r="DI142" s="55"/>
      <c r="DJ142" s="104"/>
      <c r="DK142" s="53" t="s">
        <v>333</v>
      </c>
      <c r="DM142" s="58">
        <f t="shared" si="205"/>
        <v>1068.4246389779198</v>
      </c>
      <c r="DN142" s="58">
        <f t="shared" si="202"/>
        <v>901.52</v>
      </c>
      <c r="DO142" s="21">
        <f t="shared" si="203"/>
        <v>0.84378435980511945</v>
      </c>
      <c r="DP142" s="62">
        <f t="shared" si="204"/>
        <v>1.0188600605549811</v>
      </c>
      <c r="DQ142" s="7">
        <v>0</v>
      </c>
      <c r="DR142" s="107">
        <f t="shared" si="206"/>
        <v>0</v>
      </c>
    </row>
    <row r="143" spans="1:122" ht="12.75" customHeight="1" x14ac:dyDescent="0.2">
      <c r="A143" s="53" t="s">
        <v>334</v>
      </c>
      <c r="B143" s="54">
        <v>2</v>
      </c>
      <c r="C143" s="92">
        <f t="shared" si="207"/>
        <v>89.294484586123588</v>
      </c>
      <c r="D143" s="92">
        <f t="shared" si="208"/>
        <v>85.015462262076909</v>
      </c>
      <c r="E143" s="92">
        <f>VLOOKUP(A143,[3]TRTOTAL!$A$7:$D$313,3,FALSE)</f>
        <v>89.294484586123588</v>
      </c>
      <c r="F143" s="92">
        <f>VLOOKUP(A143,[3]TRTOTAL!$A$7:$D$313,4,FALSE)</f>
        <v>85.015462262076909</v>
      </c>
      <c r="G143" s="92">
        <f t="shared" si="209"/>
        <v>0</v>
      </c>
      <c r="H143" s="92">
        <f t="shared" si="210"/>
        <v>0</v>
      </c>
      <c r="I143" s="54">
        <v>6.07</v>
      </c>
      <c r="J143" s="56">
        <v>6.06</v>
      </c>
      <c r="K143" s="54">
        <v>3.52</v>
      </c>
      <c r="L143" s="58">
        <v>2</v>
      </c>
      <c r="M143" s="57"/>
      <c r="N143" s="57">
        <v>136</v>
      </c>
      <c r="O143" s="87"/>
      <c r="P143" s="24">
        <f t="shared" si="175"/>
        <v>22.27321666666667</v>
      </c>
      <c r="Q143" s="24">
        <f t="shared" si="176"/>
        <v>10.07</v>
      </c>
      <c r="R143" s="24">
        <f t="shared" si="177"/>
        <v>5.1635666666666662</v>
      </c>
      <c r="S143" s="87">
        <v>10.5</v>
      </c>
      <c r="T143" s="21">
        <f t="shared" si="178"/>
        <v>6.9747999999999992</v>
      </c>
      <c r="U143" s="21"/>
      <c r="V143" s="24">
        <f t="shared" si="179"/>
        <v>2.44</v>
      </c>
      <c r="W143" s="24">
        <f t="shared" si="180"/>
        <v>2.6149999999999998</v>
      </c>
      <c r="X143" s="24">
        <f t="shared" si="181"/>
        <v>3.2571634695650808</v>
      </c>
      <c r="Y143" s="25">
        <f t="shared" si="223"/>
        <v>1</v>
      </c>
      <c r="Z143" s="24">
        <f t="shared" si="211"/>
        <v>21.267165516049104</v>
      </c>
      <c r="AA143" s="21">
        <f t="shared" si="182"/>
        <v>2.2646228966565793</v>
      </c>
      <c r="AB143" s="24">
        <f t="shared" si="212"/>
        <v>4.7509564908626611</v>
      </c>
      <c r="AC143" s="24">
        <f t="shared" ref="AC143:AC210" si="225">rsam+rsag+IF(rsascr,rsascr-jibred*rsag,rsas-jibred*rsag)</f>
        <v>29.927761413099621</v>
      </c>
      <c r="AD143" s="58">
        <f t="shared" si="183"/>
        <v>280</v>
      </c>
      <c r="AE143" s="58">
        <f t="shared" si="184"/>
        <v>286</v>
      </c>
      <c r="AF143" s="21">
        <f t="shared" si="213"/>
        <v>4.5272637499999986</v>
      </c>
      <c r="AG143" s="77">
        <f t="shared" si="214"/>
        <v>0</v>
      </c>
      <c r="AH143" s="114">
        <f t="shared" si="224"/>
        <v>1</v>
      </c>
      <c r="AI143" s="59">
        <f t="shared" si="215"/>
        <v>85.857127483607115</v>
      </c>
      <c r="AJ143" s="59">
        <f t="shared" si="216"/>
        <v>81.742824490721389</v>
      </c>
      <c r="AK143" s="55">
        <v>10.07</v>
      </c>
      <c r="AL143" s="55">
        <v>2.44</v>
      </c>
      <c r="AM143" s="21">
        <f t="shared" si="185"/>
        <v>12.285399999999999</v>
      </c>
      <c r="AN143" s="54">
        <v>10.07</v>
      </c>
      <c r="AO143" s="55">
        <v>0.105</v>
      </c>
      <c r="AP143" s="21">
        <f t="shared" si="186"/>
        <v>0.70489999999999997</v>
      </c>
      <c r="AQ143" s="55"/>
      <c r="AR143" s="55">
        <v>0</v>
      </c>
      <c r="AS143" s="21">
        <f t="shared" si="187"/>
        <v>0</v>
      </c>
      <c r="AT143" s="54">
        <v>9.76</v>
      </c>
      <c r="AU143" s="54">
        <v>0.88</v>
      </c>
      <c r="AV143" s="21">
        <f t="shared" si="188"/>
        <v>4.2943999999999996</v>
      </c>
      <c r="AW143" s="54">
        <v>5.14</v>
      </c>
      <c r="AX143" s="54">
        <v>0.73</v>
      </c>
      <c r="AY143" s="21">
        <f t="shared" si="189"/>
        <v>1.8760999999999999</v>
      </c>
      <c r="AZ143" s="54">
        <v>4.78</v>
      </c>
      <c r="BA143" s="54">
        <v>0.03</v>
      </c>
      <c r="BB143" s="21">
        <f t="shared" si="190"/>
        <v>9.5600000000000004E-2</v>
      </c>
      <c r="BC143" s="54">
        <v>2.77</v>
      </c>
      <c r="BD143" s="54">
        <v>0.04</v>
      </c>
      <c r="BE143" s="21">
        <f t="shared" si="191"/>
        <v>7.3866666666666678E-2</v>
      </c>
      <c r="BF143" s="55">
        <v>2.58</v>
      </c>
      <c r="BG143" s="55">
        <v>0.80500000000000005</v>
      </c>
      <c r="BH143" s="21">
        <f t="shared" si="192"/>
        <v>1.0384500000000001</v>
      </c>
      <c r="BI143" s="55">
        <v>2.0099999999999998</v>
      </c>
      <c r="BJ143" s="55">
        <v>0.05</v>
      </c>
      <c r="BK143" s="21">
        <f t="shared" si="193"/>
        <v>6.699999999999999E-2</v>
      </c>
      <c r="BL143" s="55">
        <v>0</v>
      </c>
      <c r="BM143" s="55">
        <v>0</v>
      </c>
      <c r="BN143" s="21">
        <f t="shared" si="194"/>
        <v>0</v>
      </c>
      <c r="BO143" s="55">
        <v>0</v>
      </c>
      <c r="BP143" s="55">
        <v>0</v>
      </c>
      <c r="BQ143" s="21">
        <f t="shared" si="195"/>
        <v>0</v>
      </c>
      <c r="BR143" s="55">
        <v>0</v>
      </c>
      <c r="BS143" s="21">
        <f t="shared" si="196"/>
        <v>20.435716666666671</v>
      </c>
      <c r="BT143" s="56">
        <v>7.42</v>
      </c>
      <c r="BU143" s="56">
        <v>1.51</v>
      </c>
      <c r="BV143" s="21">
        <f t="shared" si="197"/>
        <v>5.6021000000000001</v>
      </c>
      <c r="BW143" s="77">
        <f t="shared" si="217"/>
        <v>7.42</v>
      </c>
      <c r="BX143" s="55">
        <v>-5.0000000000000001E-3</v>
      </c>
      <c r="BY143" s="21">
        <f t="shared" si="198"/>
        <v>-2.4733333333333333E-2</v>
      </c>
      <c r="BZ143" s="55">
        <v>1.59</v>
      </c>
      <c r="CA143" s="55">
        <v>0.06</v>
      </c>
      <c r="CB143" s="21">
        <f t="shared" si="199"/>
        <v>6.3600000000000004E-2</v>
      </c>
      <c r="CC143" s="54">
        <v>6.82</v>
      </c>
      <c r="CD143" s="54">
        <v>-0.105</v>
      </c>
      <c r="CE143" s="21">
        <f t="shared" si="200"/>
        <v>-0.47739999999999999</v>
      </c>
      <c r="CF143" s="21"/>
      <c r="CG143" s="21"/>
      <c r="CH143" s="21">
        <f t="shared" si="218"/>
        <v>0</v>
      </c>
      <c r="CI143" s="25">
        <f t="shared" si="219"/>
        <v>5.1635666666666662</v>
      </c>
      <c r="CJ143" s="54">
        <v>0.35</v>
      </c>
      <c r="CK143" s="21">
        <f t="shared" si="220"/>
        <v>1.8374999999999999</v>
      </c>
      <c r="CL143" s="55" t="s">
        <v>310</v>
      </c>
      <c r="CM143" s="55" t="s">
        <v>311</v>
      </c>
      <c r="CN143" s="60">
        <v>39972</v>
      </c>
      <c r="CO143" s="55" t="s">
        <v>226</v>
      </c>
      <c r="CP143" s="55">
        <v>0</v>
      </c>
      <c r="CQ143" s="55">
        <v>0</v>
      </c>
      <c r="CR143" s="55">
        <v>0</v>
      </c>
      <c r="CS143" s="55">
        <v>0</v>
      </c>
      <c r="CT143" s="55"/>
      <c r="CU143" s="55"/>
      <c r="CV143" s="55"/>
      <c r="CW143" s="55"/>
      <c r="CX143" s="55"/>
      <c r="CY143" s="21">
        <f t="shared" si="201"/>
        <v>0</v>
      </c>
      <c r="CZ143" s="56">
        <v>4.83</v>
      </c>
      <c r="DA143" s="56">
        <v>9.48</v>
      </c>
      <c r="DB143" s="56">
        <v>8.5299999999999994</v>
      </c>
      <c r="DC143" s="56">
        <v>3.82</v>
      </c>
      <c r="DD143" s="61">
        <f t="shared" si="221"/>
        <v>0.79089026915113869</v>
      </c>
      <c r="DE143" s="21">
        <f t="shared" si="222"/>
        <v>30.181758333333327</v>
      </c>
      <c r="DF143" s="55"/>
      <c r="DG143" s="55"/>
      <c r="DH143" s="55"/>
      <c r="DI143" s="55"/>
      <c r="DJ143" s="104"/>
      <c r="DK143" s="50" t="s">
        <v>301</v>
      </c>
      <c r="DM143" s="58">
        <f t="shared" si="205"/>
        <v>1295.6744078352865</v>
      </c>
      <c r="DN143" s="58">
        <f t="shared" si="202"/>
        <v>906.8</v>
      </c>
      <c r="DO143" s="21">
        <f t="shared" si="203"/>
        <v>0.69986718462318931</v>
      </c>
      <c r="DP143" s="62">
        <f t="shared" si="204"/>
        <v>1.0400357804094107</v>
      </c>
      <c r="DQ143" s="7">
        <v>0</v>
      </c>
      <c r="DR143" s="107">
        <f t="shared" si="206"/>
        <v>0</v>
      </c>
    </row>
    <row r="144" spans="1:122" ht="12.75" customHeight="1" x14ac:dyDescent="0.2">
      <c r="A144" s="53" t="s">
        <v>335</v>
      </c>
      <c r="B144" s="54">
        <v>2</v>
      </c>
      <c r="C144" s="92">
        <f t="shared" si="207"/>
        <v>107.25715125963735</v>
      </c>
      <c r="D144" s="92">
        <f t="shared" si="208"/>
        <v>102.10348700038797</v>
      </c>
      <c r="E144" s="92">
        <f>VLOOKUP(A144,[3]TRTOTAL!$A$7:$D$313,3,FALSE)</f>
        <v>107.25715125963735</v>
      </c>
      <c r="F144" s="92">
        <f>VLOOKUP(A144,[3]TRTOTAL!$A$7:$D$313,4,FALSE)</f>
        <v>102.10348700038797</v>
      </c>
      <c r="G144" s="92">
        <f t="shared" si="209"/>
        <v>0</v>
      </c>
      <c r="H144" s="92">
        <f t="shared" si="210"/>
        <v>0</v>
      </c>
      <c r="I144" s="54">
        <v>5.52</v>
      </c>
      <c r="J144" s="56">
        <v>5.49</v>
      </c>
      <c r="K144" s="54">
        <v>2.4900000000000002</v>
      </c>
      <c r="L144" s="57">
        <v>2</v>
      </c>
      <c r="M144" s="57">
        <v>173</v>
      </c>
      <c r="N144" s="57"/>
      <c r="O144" s="87"/>
      <c r="P144" s="24">
        <f t="shared" si="175"/>
        <v>15.808044499999998</v>
      </c>
      <c r="Q144" s="24">
        <f t="shared" si="176"/>
        <v>8.7539999999999996</v>
      </c>
      <c r="R144" s="24">
        <f t="shared" si="177"/>
        <v>3.5682980000000004</v>
      </c>
      <c r="S144" s="87">
        <v>9</v>
      </c>
      <c r="T144" s="21">
        <f t="shared" si="178"/>
        <v>5.3636400000000002</v>
      </c>
      <c r="U144" s="21"/>
      <c r="V144" s="24">
        <f t="shared" si="179"/>
        <v>1.944</v>
      </c>
      <c r="W144" s="24">
        <f t="shared" si="180"/>
        <v>2.1339999999999999</v>
      </c>
      <c r="X144" s="24">
        <f t="shared" si="181"/>
        <v>3.4712773904710539</v>
      </c>
      <c r="Y144" s="25">
        <f t="shared" si="223"/>
        <v>1</v>
      </c>
      <c r="Z144" s="24">
        <f t="shared" si="211"/>
        <v>15.38507962900629</v>
      </c>
      <c r="AA144" s="21">
        <f t="shared" si="182"/>
        <v>1.9463627656116023</v>
      </c>
      <c r="AB144" s="24">
        <f t="shared" si="212"/>
        <v>3.1373339512916902</v>
      </c>
      <c r="AC144" s="24">
        <f t="shared" si="225"/>
        <v>21.264560166630059</v>
      </c>
      <c r="AD144" s="58">
        <f t="shared" si="183"/>
        <v>323</v>
      </c>
      <c r="AE144" s="58">
        <f t="shared" si="184"/>
        <v>329</v>
      </c>
      <c r="AF144" s="21">
        <f t="shared" si="213"/>
        <v>3.15</v>
      </c>
      <c r="AG144" s="77">
        <f t="shared" si="214"/>
        <v>0</v>
      </c>
      <c r="AH144" s="114">
        <f t="shared" si="224"/>
        <v>1</v>
      </c>
      <c r="AI144" s="59">
        <f t="shared" si="215"/>
        <v>106.13099728445178</v>
      </c>
      <c r="AJ144" s="59">
        <f t="shared" si="216"/>
        <v>101.03144428421092</v>
      </c>
      <c r="AK144" s="55">
        <v>8.7539999999999996</v>
      </c>
      <c r="AL144" s="55">
        <v>1.944</v>
      </c>
      <c r="AM144" s="21">
        <f t="shared" si="185"/>
        <v>8.5088879999999989</v>
      </c>
      <c r="AN144" s="54">
        <v>8.7539999999999996</v>
      </c>
      <c r="AO144" s="55">
        <v>0.128</v>
      </c>
      <c r="AP144" s="21">
        <f t="shared" si="186"/>
        <v>0.74700800000000001</v>
      </c>
      <c r="AQ144" s="55"/>
      <c r="AR144" s="55"/>
      <c r="AS144" s="21">
        <f t="shared" si="187"/>
        <v>0</v>
      </c>
      <c r="AT144" s="54">
        <v>8.4090000000000007</v>
      </c>
      <c r="AU144" s="54">
        <v>0.78300000000000003</v>
      </c>
      <c r="AV144" s="21">
        <f t="shared" si="188"/>
        <v>3.2921235000000002</v>
      </c>
      <c r="AW144" s="54">
        <v>1.7629999999999999</v>
      </c>
      <c r="AX144" s="54">
        <v>0.15</v>
      </c>
      <c r="AY144" s="21">
        <f t="shared" si="189"/>
        <v>0.13222499999999998</v>
      </c>
      <c r="AZ144" s="54">
        <v>6.8819999999999997</v>
      </c>
      <c r="BA144" s="54">
        <v>0.3</v>
      </c>
      <c r="BB144" s="21">
        <f t="shared" si="190"/>
        <v>1.3764000000000001</v>
      </c>
      <c r="BC144" s="54"/>
      <c r="BD144" s="54"/>
      <c r="BE144" s="21">
        <f t="shared" si="191"/>
        <v>0</v>
      </c>
      <c r="BF144" s="55">
        <v>0.9</v>
      </c>
      <c r="BG144" s="55">
        <v>9.1999999999999998E-2</v>
      </c>
      <c r="BH144" s="21">
        <f t="shared" si="192"/>
        <v>4.1399999999999999E-2</v>
      </c>
      <c r="BI144" s="55"/>
      <c r="BJ144" s="55"/>
      <c r="BK144" s="21">
        <f t="shared" si="193"/>
        <v>0</v>
      </c>
      <c r="BL144" s="55"/>
      <c r="BM144" s="55"/>
      <c r="BN144" s="21">
        <f t="shared" si="194"/>
        <v>0</v>
      </c>
      <c r="BO144" s="55"/>
      <c r="BP144" s="55"/>
      <c r="BQ144" s="21">
        <f t="shared" si="195"/>
        <v>0</v>
      </c>
      <c r="BR144" s="55"/>
      <c r="BS144" s="21">
        <f t="shared" si="196"/>
        <v>14.098044499999999</v>
      </c>
      <c r="BT144" s="56">
        <v>5.7060000000000004</v>
      </c>
      <c r="BU144" s="56">
        <v>1.3540000000000001</v>
      </c>
      <c r="BV144" s="21">
        <f t="shared" si="197"/>
        <v>3.8629620000000005</v>
      </c>
      <c r="BW144" s="77">
        <f t="shared" si="217"/>
        <v>5.7060000000000004</v>
      </c>
      <c r="BX144" s="55">
        <v>-1.4999999999999999E-2</v>
      </c>
      <c r="BY144" s="21">
        <f t="shared" si="198"/>
        <v>-5.706E-2</v>
      </c>
      <c r="BZ144" s="55">
        <v>5.69</v>
      </c>
      <c r="CA144" s="55">
        <v>-7.1999999999999995E-2</v>
      </c>
      <c r="CB144" s="21">
        <f t="shared" si="199"/>
        <v>-0.27311999999999997</v>
      </c>
      <c r="CC144" s="55">
        <v>1.3660000000000001</v>
      </c>
      <c r="CD144" s="55">
        <v>3.9E-2</v>
      </c>
      <c r="CE144" s="21">
        <f t="shared" si="200"/>
        <v>3.5515999999999999E-2</v>
      </c>
      <c r="CF144" s="21"/>
      <c r="CG144" s="21"/>
      <c r="CH144" s="21">
        <f t="shared" si="218"/>
        <v>0</v>
      </c>
      <c r="CI144" s="25">
        <f t="shared" si="219"/>
        <v>3.5682980000000004</v>
      </c>
      <c r="CJ144" s="54">
        <v>0.38</v>
      </c>
      <c r="CK144" s="21">
        <f t="shared" si="220"/>
        <v>1.71</v>
      </c>
      <c r="CL144" s="55">
        <v>178</v>
      </c>
      <c r="CM144" s="55"/>
      <c r="CN144" s="60"/>
      <c r="CO144" s="55" t="s">
        <v>162</v>
      </c>
      <c r="CP144" s="55"/>
      <c r="CQ144" s="55"/>
      <c r="CR144" s="55"/>
      <c r="CS144" s="55"/>
      <c r="CT144" s="55"/>
      <c r="CU144" s="55"/>
      <c r="CV144" s="55"/>
      <c r="CW144" s="55"/>
      <c r="CX144" s="55"/>
      <c r="CY144" s="21">
        <f t="shared" si="201"/>
        <v>0</v>
      </c>
      <c r="CZ144" s="56"/>
      <c r="DA144" s="56"/>
      <c r="DB144" s="56"/>
      <c r="DC144" s="56"/>
      <c r="DD144" s="61">
        <f t="shared" si="221"/>
        <v>0</v>
      </c>
      <c r="DE144" s="21">
        <f t="shared" si="222"/>
        <v>0</v>
      </c>
      <c r="DF144" s="55"/>
      <c r="DG144" s="55"/>
      <c r="DH144" s="55"/>
      <c r="DI144" s="55"/>
      <c r="DJ144" s="104"/>
      <c r="DK144" s="53"/>
      <c r="DM144" s="58">
        <f t="shared" si="205"/>
        <v>813.297979501393</v>
      </c>
      <c r="DN144" s="58">
        <f t="shared" si="202"/>
        <v>738.8850000000001</v>
      </c>
      <c r="DO144" s="21">
        <f t="shared" si="203"/>
        <v>0.90850465465681707</v>
      </c>
      <c r="DP144" s="62">
        <f t="shared" si="204"/>
        <v>1.0106109808067407</v>
      </c>
      <c r="DQ144" s="7" t="s">
        <v>130</v>
      </c>
      <c r="DR144" s="107">
        <f t="shared" si="206"/>
        <v>0</v>
      </c>
    </row>
    <row r="145" spans="1:122" ht="12.75" customHeight="1" x14ac:dyDescent="0.2">
      <c r="A145" s="53" t="s">
        <v>336</v>
      </c>
      <c r="B145" s="54">
        <v>2</v>
      </c>
      <c r="C145" s="92">
        <f t="shared" si="207"/>
        <v>104.38083581564808</v>
      </c>
      <c r="D145" s="92">
        <f t="shared" si="208"/>
        <v>99.960418870354729</v>
      </c>
      <c r="E145" s="92">
        <f>VLOOKUP(A145,[3]TRTOTAL!$A$7:$D$313,3,FALSE)</f>
        <v>104.95771809188007</v>
      </c>
      <c r="F145" s="92">
        <f>VLOOKUP(A145,[3]TRTOTAL!$A$7:$D$313,4,FALSE)</f>
        <v>100.37014141528145</v>
      </c>
      <c r="G145" s="92">
        <f t="shared" si="209"/>
        <v>-0.57688227623198429</v>
      </c>
      <c r="H145" s="92">
        <f t="shared" si="210"/>
        <v>-0.40972254492672278</v>
      </c>
      <c r="I145" s="54">
        <v>5.52</v>
      </c>
      <c r="J145" s="56">
        <v>5.52</v>
      </c>
      <c r="K145" s="54">
        <v>2.6</v>
      </c>
      <c r="L145" s="57">
        <v>2</v>
      </c>
      <c r="M145" s="57"/>
      <c r="N145" s="57">
        <v>180</v>
      </c>
      <c r="O145" s="87"/>
      <c r="P145" s="24">
        <f t="shared" si="175"/>
        <v>17</v>
      </c>
      <c r="Q145" s="24">
        <f t="shared" si="176"/>
        <v>9.0500000000000007</v>
      </c>
      <c r="R145" s="24">
        <f t="shared" si="177"/>
        <v>4.3</v>
      </c>
      <c r="S145" s="87">
        <v>9.0500000000000007</v>
      </c>
      <c r="T145" s="21">
        <f t="shared" si="178"/>
        <v>5.73</v>
      </c>
      <c r="U145" s="21">
        <v>2.1</v>
      </c>
      <c r="V145" s="24">
        <f t="shared" si="179"/>
        <v>2.1</v>
      </c>
      <c r="W145" s="24">
        <f t="shared" si="180"/>
        <v>2.2600000000000002</v>
      </c>
      <c r="X145" s="24">
        <f t="shared" si="181"/>
        <v>3.3283734043386315</v>
      </c>
      <c r="Y145" s="25">
        <f t="shared" si="223"/>
        <v>1</v>
      </c>
      <c r="Z145" s="24">
        <f t="shared" si="211"/>
        <v>16.337791034816128</v>
      </c>
      <c r="AA145" s="21">
        <f t="shared" si="182"/>
        <v>0</v>
      </c>
      <c r="AB145" s="24">
        <f t="shared" si="212"/>
        <v>3.87</v>
      </c>
      <c r="AC145" s="24">
        <f t="shared" si="225"/>
        <v>22.854691034816128</v>
      </c>
      <c r="AD145" s="58">
        <f t="shared" si="183"/>
        <v>324</v>
      </c>
      <c r="AE145" s="58">
        <f t="shared" si="184"/>
        <v>330</v>
      </c>
      <c r="AF145" s="21">
        <f t="shared" si="213"/>
        <v>3.15</v>
      </c>
      <c r="AG145" s="77">
        <f t="shared" si="214"/>
        <v>0</v>
      </c>
      <c r="AH145" s="114">
        <f t="shared" si="224"/>
        <v>1</v>
      </c>
      <c r="AI145" s="59">
        <f t="shared" si="215"/>
        <v>102.43303194979761</v>
      </c>
      <c r="AJ145" s="59">
        <f t="shared" si="216"/>
        <v>98.095102418476685</v>
      </c>
      <c r="AK145" s="55"/>
      <c r="AL145" s="55"/>
      <c r="AM145" s="21">
        <f t="shared" si="185"/>
        <v>0</v>
      </c>
      <c r="AN145" s="54">
        <v>9.0500000000000007</v>
      </c>
      <c r="AO145" s="55"/>
      <c r="AP145" s="21">
        <f t="shared" si="186"/>
        <v>0</v>
      </c>
      <c r="AQ145" s="55"/>
      <c r="AR145" s="55"/>
      <c r="AS145" s="21">
        <f t="shared" si="187"/>
        <v>0</v>
      </c>
      <c r="AT145" s="54"/>
      <c r="AU145" s="54"/>
      <c r="AV145" s="21">
        <f t="shared" si="188"/>
        <v>0</v>
      </c>
      <c r="AW145" s="54"/>
      <c r="AX145" s="54"/>
      <c r="AY145" s="21">
        <f t="shared" si="189"/>
        <v>0</v>
      </c>
      <c r="AZ145" s="54"/>
      <c r="BA145" s="54"/>
      <c r="BB145" s="21">
        <f t="shared" si="190"/>
        <v>0</v>
      </c>
      <c r="BC145" s="54"/>
      <c r="BD145" s="54"/>
      <c r="BE145" s="21">
        <f t="shared" si="191"/>
        <v>0</v>
      </c>
      <c r="BF145" s="55"/>
      <c r="BG145" s="55"/>
      <c r="BH145" s="21">
        <f t="shared" si="192"/>
        <v>0</v>
      </c>
      <c r="BI145" s="55"/>
      <c r="BJ145" s="55"/>
      <c r="BK145" s="21">
        <f t="shared" si="193"/>
        <v>0</v>
      </c>
      <c r="BL145" s="55"/>
      <c r="BM145" s="55"/>
      <c r="BN145" s="21">
        <f t="shared" si="194"/>
        <v>0</v>
      </c>
      <c r="BO145" s="55"/>
      <c r="BP145" s="55"/>
      <c r="BQ145" s="21">
        <f t="shared" si="195"/>
        <v>0</v>
      </c>
      <c r="BR145" s="55"/>
      <c r="BS145" s="21">
        <f t="shared" si="196"/>
        <v>0</v>
      </c>
      <c r="BT145" s="56">
        <v>0</v>
      </c>
      <c r="BU145" s="56"/>
      <c r="BV145" s="21">
        <f t="shared" si="197"/>
        <v>0</v>
      </c>
      <c r="BW145" s="77">
        <f t="shared" si="217"/>
        <v>0</v>
      </c>
      <c r="BX145" s="55"/>
      <c r="BY145" s="21">
        <f t="shared" si="198"/>
        <v>0</v>
      </c>
      <c r="BZ145" s="55"/>
      <c r="CA145" s="55"/>
      <c r="CB145" s="21">
        <f t="shared" si="199"/>
        <v>0</v>
      </c>
      <c r="CC145" s="54"/>
      <c r="CD145" s="54"/>
      <c r="CE145" s="21">
        <f t="shared" si="200"/>
        <v>0</v>
      </c>
      <c r="CF145" s="21"/>
      <c r="CG145" s="21"/>
      <c r="CH145" s="21">
        <f t="shared" si="218"/>
        <v>0</v>
      </c>
      <c r="CI145" s="25">
        <f t="shared" si="219"/>
        <v>4.3</v>
      </c>
      <c r="CJ145" s="54"/>
      <c r="CK145" s="21">
        <f t="shared" si="220"/>
        <v>0</v>
      </c>
      <c r="CL145" s="55"/>
      <c r="CM145" s="55"/>
      <c r="CN145" s="60"/>
      <c r="CO145" s="55"/>
      <c r="CP145" s="55"/>
      <c r="CQ145" s="55"/>
      <c r="CR145" s="55"/>
      <c r="CS145" s="55"/>
      <c r="CT145" s="55"/>
      <c r="CU145" s="55"/>
      <c r="CV145" s="55"/>
      <c r="CW145" s="55"/>
      <c r="CX145" s="55"/>
      <c r="CY145" s="21">
        <f t="shared" si="201"/>
        <v>0</v>
      </c>
      <c r="CZ145" s="56"/>
      <c r="DA145" s="56"/>
      <c r="DB145" s="56"/>
      <c r="DC145" s="56"/>
      <c r="DD145" s="61">
        <f t="shared" si="221"/>
        <v>0</v>
      </c>
      <c r="DE145" s="21">
        <f t="shared" si="222"/>
        <v>21</v>
      </c>
      <c r="DF145" s="55">
        <v>17</v>
      </c>
      <c r="DG145" s="55">
        <v>4.3</v>
      </c>
      <c r="DH145" s="55">
        <v>5.73</v>
      </c>
      <c r="DI145" s="55">
        <v>21</v>
      </c>
      <c r="DJ145" s="104"/>
      <c r="DK145" s="53" t="s">
        <v>169</v>
      </c>
      <c r="DM145" s="58">
        <f t="shared" si="205"/>
        <v>909.31118396160002</v>
      </c>
      <c r="DN145" s="58">
        <f t="shared" si="202"/>
        <v>766.2</v>
      </c>
      <c r="DO145" s="21">
        <f t="shared" si="203"/>
        <v>0.84261583219717273</v>
      </c>
      <c r="DP145" s="62">
        <f t="shared" si="204"/>
        <v>1.0190153881885005</v>
      </c>
      <c r="DQ145" s="7" t="s">
        <v>130</v>
      </c>
      <c r="DR145" s="107" t="str">
        <f t="shared" si="206"/>
        <v>yes</v>
      </c>
    </row>
    <row r="146" spans="1:122" ht="12.75" customHeight="1" x14ac:dyDescent="0.2">
      <c r="A146" s="53" t="s">
        <v>337</v>
      </c>
      <c r="B146" s="54">
        <v>2</v>
      </c>
      <c r="C146" s="92">
        <f t="shared" si="207"/>
        <v>102.28505902058147</v>
      </c>
      <c r="D146" s="92">
        <f t="shared" si="208"/>
        <v>98.207573762584971</v>
      </c>
      <c r="E146" s="92">
        <f>VLOOKUP(A146,[3]TRTOTAL!$A$7:$D$313,3,FALSE)</f>
        <v>102.28505902058147</v>
      </c>
      <c r="F146" s="92">
        <f>VLOOKUP(A146,[3]TRTOTAL!$A$7:$D$313,4,FALSE)</f>
        <v>98.207573762584971</v>
      </c>
      <c r="G146" s="92">
        <f t="shared" si="209"/>
        <v>0</v>
      </c>
      <c r="H146" s="92">
        <f t="shared" si="210"/>
        <v>0</v>
      </c>
      <c r="I146" s="54">
        <v>5.52</v>
      </c>
      <c r="J146" s="56">
        <v>5.52</v>
      </c>
      <c r="K146" s="54">
        <v>2.6</v>
      </c>
      <c r="L146" s="57">
        <v>2</v>
      </c>
      <c r="M146" s="57"/>
      <c r="N146" s="57">
        <v>176</v>
      </c>
      <c r="O146" s="87"/>
      <c r="P146" s="24">
        <f t="shared" si="175"/>
        <v>17.627766666666666</v>
      </c>
      <c r="Q146" s="24">
        <f t="shared" si="176"/>
        <v>8.74</v>
      </c>
      <c r="R146" s="24">
        <f t="shared" si="177"/>
        <v>4.5</v>
      </c>
      <c r="S146" s="87">
        <v>9</v>
      </c>
      <c r="T146" s="21">
        <f t="shared" si="178"/>
        <v>5.63</v>
      </c>
      <c r="U146" s="21"/>
      <c r="V146" s="24">
        <f t="shared" si="179"/>
        <v>2.0699999999999998</v>
      </c>
      <c r="W146" s="24">
        <f t="shared" si="180"/>
        <v>2.2599999999999998</v>
      </c>
      <c r="X146" s="24">
        <f t="shared" si="181"/>
        <v>3.4512817500717889</v>
      </c>
      <c r="Y146" s="25">
        <f t="shared" si="223"/>
        <v>1</v>
      </c>
      <c r="Z146" s="24">
        <f t="shared" si="211"/>
        <v>17.126405416868266</v>
      </c>
      <c r="AA146" s="21">
        <f t="shared" si="182"/>
        <v>0</v>
      </c>
      <c r="AB146" s="24">
        <f t="shared" si="212"/>
        <v>4.05</v>
      </c>
      <c r="AC146" s="24">
        <f t="shared" si="225"/>
        <v>23.799905416868267</v>
      </c>
      <c r="AD146" s="58">
        <f t="shared" si="183"/>
        <v>320</v>
      </c>
      <c r="AE146" s="58">
        <f t="shared" si="184"/>
        <v>326</v>
      </c>
      <c r="AF146" s="21">
        <f t="shared" si="213"/>
        <v>3.15</v>
      </c>
      <c r="AG146" s="77">
        <f t="shared" si="214"/>
        <v>0</v>
      </c>
      <c r="AH146" s="114">
        <f t="shared" si="224"/>
        <v>1</v>
      </c>
      <c r="AI146" s="59">
        <f t="shared" si="215"/>
        <v>100.12747910864103</v>
      </c>
      <c r="AJ146" s="59">
        <f t="shared" si="216"/>
        <v>96.136003482629164</v>
      </c>
      <c r="AK146" s="55">
        <v>8.74</v>
      </c>
      <c r="AL146" s="55">
        <v>2.0699999999999998</v>
      </c>
      <c r="AM146" s="21">
        <f t="shared" si="185"/>
        <v>9.0458999999999996</v>
      </c>
      <c r="AN146" s="54">
        <v>8.74</v>
      </c>
      <c r="AO146" s="55">
        <v>0.13500000000000001</v>
      </c>
      <c r="AP146" s="21">
        <f t="shared" si="186"/>
        <v>0.78660000000000008</v>
      </c>
      <c r="AQ146" s="55">
        <v>5.22</v>
      </c>
      <c r="AR146" s="55">
        <v>6.5000000000000002E-2</v>
      </c>
      <c r="AS146" s="21">
        <f t="shared" si="187"/>
        <v>0.22619999999999998</v>
      </c>
      <c r="AT146" s="54">
        <v>8.4749999999999996</v>
      </c>
      <c r="AU146" s="54">
        <v>1.06</v>
      </c>
      <c r="AV146" s="21">
        <f t="shared" si="188"/>
        <v>4.4917499999999997</v>
      </c>
      <c r="AW146" s="54">
        <v>3.53</v>
      </c>
      <c r="AX146" s="54">
        <v>0.31</v>
      </c>
      <c r="AY146" s="21">
        <f t="shared" si="189"/>
        <v>0.54714999999999991</v>
      </c>
      <c r="AZ146" s="54">
        <v>3.3250000000000002</v>
      </c>
      <c r="BA146" s="54">
        <v>0.37</v>
      </c>
      <c r="BB146" s="21">
        <f t="shared" si="190"/>
        <v>0.82016666666666671</v>
      </c>
      <c r="BC146" s="54"/>
      <c r="BD146" s="54"/>
      <c r="BE146" s="21">
        <f t="shared" si="191"/>
        <v>0</v>
      </c>
      <c r="BF146" s="55"/>
      <c r="BG146" s="55"/>
      <c r="BH146" s="21">
        <f t="shared" si="192"/>
        <v>0</v>
      </c>
      <c r="BI146" s="55"/>
      <c r="BJ146" s="55"/>
      <c r="BK146" s="21">
        <f t="shared" si="193"/>
        <v>0</v>
      </c>
      <c r="BL146" s="55"/>
      <c r="BM146" s="55"/>
      <c r="BN146" s="21">
        <f t="shared" si="194"/>
        <v>0</v>
      </c>
      <c r="BO146" s="55"/>
      <c r="BP146" s="55"/>
      <c r="BQ146" s="21">
        <f t="shared" si="195"/>
        <v>0</v>
      </c>
      <c r="BR146" s="55"/>
      <c r="BS146" s="21">
        <f t="shared" si="196"/>
        <v>15.917766666666667</v>
      </c>
      <c r="BT146" s="56"/>
      <c r="BU146" s="56"/>
      <c r="BV146" s="21">
        <f t="shared" si="197"/>
        <v>0</v>
      </c>
      <c r="BW146" s="77">
        <f t="shared" si="217"/>
        <v>0</v>
      </c>
      <c r="BX146" s="55"/>
      <c r="BY146" s="21">
        <f t="shared" si="198"/>
        <v>0</v>
      </c>
      <c r="BZ146" s="55"/>
      <c r="CA146" s="55"/>
      <c r="CB146" s="21"/>
      <c r="CC146" s="55"/>
      <c r="CD146" s="55"/>
      <c r="CE146" s="21"/>
      <c r="CF146" s="21"/>
      <c r="CG146" s="21"/>
      <c r="CH146" s="21">
        <f t="shared" si="218"/>
        <v>0</v>
      </c>
      <c r="CI146" s="25">
        <f t="shared" si="219"/>
        <v>4.5</v>
      </c>
      <c r="CJ146" s="54">
        <v>0.38</v>
      </c>
      <c r="CK146" s="21">
        <f t="shared" si="220"/>
        <v>1.71</v>
      </c>
      <c r="CL146" s="55"/>
      <c r="CM146" s="55"/>
      <c r="CN146" s="60"/>
      <c r="CO146" s="55" t="s">
        <v>521</v>
      </c>
      <c r="CP146" s="55"/>
      <c r="CQ146" s="55"/>
      <c r="CR146" s="55"/>
      <c r="CS146" s="55"/>
      <c r="CT146" s="55"/>
      <c r="CU146" s="55"/>
      <c r="CV146" s="55"/>
      <c r="CW146" s="55"/>
      <c r="CX146" s="55"/>
      <c r="CY146" s="21">
        <f t="shared" si="201"/>
        <v>0</v>
      </c>
      <c r="CZ146" s="56"/>
      <c r="DA146" s="56"/>
      <c r="DB146" s="56"/>
      <c r="DC146" s="56"/>
      <c r="DD146" s="61">
        <f t="shared" si="221"/>
        <v>0</v>
      </c>
      <c r="DE146" s="21">
        <f t="shared" si="222"/>
        <v>0</v>
      </c>
      <c r="DF146" s="55"/>
      <c r="DG146" s="55">
        <v>4.5</v>
      </c>
      <c r="DH146" s="55">
        <v>5.63</v>
      </c>
      <c r="DI146" s="55"/>
      <c r="DJ146" s="104"/>
      <c r="DK146" s="53"/>
      <c r="DM146" s="58">
        <f t="shared" si="205"/>
        <v>923.75465116963824</v>
      </c>
      <c r="DN146" s="58">
        <f t="shared" si="202"/>
        <v>761</v>
      </c>
      <c r="DO146" s="21">
        <f t="shared" si="203"/>
        <v>0.82381181955234351</v>
      </c>
      <c r="DP146" s="62">
        <f t="shared" si="204"/>
        <v>1.0215483295010295</v>
      </c>
      <c r="DQ146" s="7" t="s">
        <v>130</v>
      </c>
      <c r="DR146" s="107">
        <f t="shared" si="206"/>
        <v>0</v>
      </c>
    </row>
    <row r="147" spans="1:122" ht="12.75" customHeight="1" x14ac:dyDescent="0.2">
      <c r="A147" s="53" t="s">
        <v>338</v>
      </c>
      <c r="B147" s="54">
        <v>2</v>
      </c>
      <c r="C147" s="92">
        <f t="shared" si="207"/>
        <v>101.85393717293834</v>
      </c>
      <c r="D147" s="92">
        <f t="shared" si="208"/>
        <v>96.642999133841911</v>
      </c>
      <c r="E147" s="92">
        <f>VLOOKUP(A147,[3]TRTOTAL!$A$7:$D$313,3,FALSE)</f>
        <v>101.85393717293834</v>
      </c>
      <c r="F147" s="92">
        <f>VLOOKUP(A147,[3]TRTOTAL!$A$7:$D$313,4,FALSE)</f>
        <v>96.642999133841911</v>
      </c>
      <c r="G147" s="92">
        <f t="shared" si="209"/>
        <v>0</v>
      </c>
      <c r="H147" s="92">
        <f t="shared" si="210"/>
        <v>0</v>
      </c>
      <c r="I147" s="54">
        <v>6.08</v>
      </c>
      <c r="J147" s="56">
        <v>6.08</v>
      </c>
      <c r="K147" s="54">
        <v>2.6</v>
      </c>
      <c r="L147" s="57">
        <v>2</v>
      </c>
      <c r="M147" s="57">
        <v>187</v>
      </c>
      <c r="N147" s="57"/>
      <c r="O147" s="87"/>
      <c r="P147" s="24">
        <f t="shared" si="175"/>
        <v>17.067542833333334</v>
      </c>
      <c r="Q147" s="24">
        <f t="shared" si="176"/>
        <v>9.2200000000000006</v>
      </c>
      <c r="R147" s="24">
        <f t="shared" si="177"/>
        <v>4.4450566666666669</v>
      </c>
      <c r="S147" s="87">
        <v>9.5</v>
      </c>
      <c r="T147" s="21">
        <f t="shared" si="178"/>
        <v>5.9595999999999991</v>
      </c>
      <c r="U147" s="21"/>
      <c r="V147" s="24">
        <f t="shared" si="179"/>
        <v>2.0049999999999999</v>
      </c>
      <c r="W147" s="24">
        <f t="shared" si="180"/>
        <v>2.1890000000000001</v>
      </c>
      <c r="X147" s="24">
        <f t="shared" si="181"/>
        <v>3.5618815939687085</v>
      </c>
      <c r="Y147" s="25">
        <f t="shared" si="223"/>
        <v>1</v>
      </c>
      <c r="Z147" s="24">
        <f t="shared" si="211"/>
        <v>16.739776206987322</v>
      </c>
      <c r="AA147" s="21">
        <f t="shared" si="182"/>
        <v>1.9755807407407409</v>
      </c>
      <c r="AB147" s="24">
        <f t="shared" si="212"/>
        <v>3.9257101729128343</v>
      </c>
      <c r="AC147" s="24">
        <f t="shared" si="225"/>
        <v>23.905144057421488</v>
      </c>
      <c r="AD147" s="58">
        <f t="shared" si="183"/>
        <v>337</v>
      </c>
      <c r="AE147" s="58">
        <f t="shared" si="184"/>
        <v>343</v>
      </c>
      <c r="AF147" s="21">
        <f t="shared" si="213"/>
        <v>3.75</v>
      </c>
      <c r="AG147" s="77">
        <f t="shared" si="214"/>
        <v>0</v>
      </c>
      <c r="AH147" s="114">
        <f t="shared" si="224"/>
        <v>1</v>
      </c>
      <c r="AI147" s="59">
        <f t="shared" si="215"/>
        <v>99.887823720429594</v>
      </c>
      <c r="AJ147" s="59">
        <f t="shared" si="216"/>
        <v>94.777473794696533</v>
      </c>
      <c r="AK147" s="55">
        <v>9.2200000000000006</v>
      </c>
      <c r="AL147" s="55">
        <v>2.0049999999999999</v>
      </c>
      <c r="AM147" s="21">
        <f t="shared" si="185"/>
        <v>9.2430500000000002</v>
      </c>
      <c r="AN147" s="54">
        <v>9.2200000000000006</v>
      </c>
      <c r="AO147" s="55">
        <v>0.14299999999999999</v>
      </c>
      <c r="AP147" s="21">
        <f t="shared" si="186"/>
        <v>0.87897333333333327</v>
      </c>
      <c r="AQ147" s="55"/>
      <c r="AR147" s="55"/>
      <c r="AS147" s="21">
        <f t="shared" si="187"/>
        <v>0</v>
      </c>
      <c r="AT147" s="54">
        <v>8.9920000000000009</v>
      </c>
      <c r="AU147" s="54">
        <v>0.91200000000000003</v>
      </c>
      <c r="AV147" s="21">
        <f t="shared" si="188"/>
        <v>4.1003520000000009</v>
      </c>
      <c r="AW147" s="54">
        <v>1.8460000000000001</v>
      </c>
      <c r="AX147" s="54">
        <v>0.1</v>
      </c>
      <c r="AY147" s="21">
        <f t="shared" si="189"/>
        <v>9.2300000000000007E-2</v>
      </c>
      <c r="AZ147" s="54">
        <v>6.54</v>
      </c>
      <c r="BA147" s="54">
        <v>0.17199999999999999</v>
      </c>
      <c r="BB147" s="21">
        <f t="shared" si="190"/>
        <v>0.74991999999999992</v>
      </c>
      <c r="BC147" s="54"/>
      <c r="BD147" s="54"/>
      <c r="BE147" s="21">
        <f t="shared" si="191"/>
        <v>0</v>
      </c>
      <c r="BF147" s="55">
        <v>2.681</v>
      </c>
      <c r="BG147" s="55">
        <v>0.17499999999999999</v>
      </c>
      <c r="BH147" s="21">
        <f t="shared" si="192"/>
        <v>0.23458749999999998</v>
      </c>
      <c r="BI147" s="55">
        <v>1.018</v>
      </c>
      <c r="BJ147" s="55">
        <v>0.03</v>
      </c>
      <c r="BK147" s="21">
        <f t="shared" si="193"/>
        <v>2.036E-2</v>
      </c>
      <c r="BL147" s="55"/>
      <c r="BM147" s="55"/>
      <c r="BN147" s="21">
        <f t="shared" si="194"/>
        <v>0</v>
      </c>
      <c r="BO147" s="55"/>
      <c r="BP147" s="55"/>
      <c r="BQ147" s="21">
        <f t="shared" si="195"/>
        <v>0</v>
      </c>
      <c r="BR147" s="55"/>
      <c r="BS147" s="21">
        <f t="shared" si="196"/>
        <v>15.319542833333333</v>
      </c>
      <c r="BT147" s="56">
        <v>6.34</v>
      </c>
      <c r="BU147" s="56">
        <v>1.5</v>
      </c>
      <c r="BV147" s="21">
        <f t="shared" si="197"/>
        <v>4.7549999999999999</v>
      </c>
      <c r="BW147" s="77">
        <f t="shared" si="217"/>
        <v>6.34</v>
      </c>
      <c r="BX147" s="55"/>
      <c r="BY147" s="21">
        <f t="shared" si="198"/>
        <v>0</v>
      </c>
      <c r="BZ147" s="55">
        <v>5.8849999999999998</v>
      </c>
      <c r="CA147" s="55">
        <v>-7.9000000000000001E-2</v>
      </c>
      <c r="CB147" s="21">
        <f t="shared" ref="CB147:CB177" si="226">BZ147*CA147*2/3</f>
        <v>-0.30994333333333329</v>
      </c>
      <c r="CC147" s="55"/>
      <c r="CD147" s="55"/>
      <c r="CE147" s="21">
        <f t="shared" ref="CE147:CE177" si="227">CC147*CD147*2/3</f>
        <v>0</v>
      </c>
      <c r="CF147" s="21"/>
      <c r="CG147" s="21"/>
      <c r="CH147" s="21">
        <f t="shared" si="218"/>
        <v>0</v>
      </c>
      <c r="CI147" s="25">
        <f t="shared" si="219"/>
        <v>4.4450566666666669</v>
      </c>
      <c r="CJ147" s="54">
        <v>0.36799999999999999</v>
      </c>
      <c r="CK147" s="21">
        <f t="shared" si="220"/>
        <v>1.748</v>
      </c>
      <c r="CL147" s="55"/>
      <c r="CM147" s="55"/>
      <c r="CN147" s="60"/>
      <c r="CO147" s="55"/>
      <c r="CP147" s="55"/>
      <c r="CQ147" s="55"/>
      <c r="CR147" s="55"/>
      <c r="CS147" s="55"/>
      <c r="CT147" s="55"/>
      <c r="CU147" s="55"/>
      <c r="CV147" s="55"/>
      <c r="CW147" s="55"/>
      <c r="CX147" s="55"/>
      <c r="CY147" s="21">
        <f t="shared" si="201"/>
        <v>0</v>
      </c>
      <c r="CZ147" s="56"/>
      <c r="DA147" s="56"/>
      <c r="DB147" s="56"/>
      <c r="DC147" s="56"/>
      <c r="DD147" s="61">
        <f t="shared" si="221"/>
        <v>0</v>
      </c>
      <c r="DE147" s="21">
        <f t="shared" si="222"/>
        <v>0</v>
      </c>
      <c r="DF147" s="55"/>
      <c r="DG147" s="55"/>
      <c r="DH147" s="55"/>
      <c r="DI147" s="55"/>
      <c r="DJ147" s="104"/>
      <c r="DK147" s="53"/>
      <c r="DM147" s="58">
        <f t="shared" si="205"/>
        <v>934.91951640481022</v>
      </c>
      <c r="DN147" s="58">
        <f t="shared" si="202"/>
        <v>783.1</v>
      </c>
      <c r="DO147" s="21">
        <f t="shared" si="203"/>
        <v>0.83761220753137644</v>
      </c>
      <c r="DP147" s="62">
        <f t="shared" si="204"/>
        <v>1.0196832144227268</v>
      </c>
      <c r="DQ147" s="7" t="s">
        <v>130</v>
      </c>
      <c r="DR147" s="107">
        <f t="shared" si="206"/>
        <v>0</v>
      </c>
    </row>
    <row r="148" spans="1:122" ht="12.75" customHeight="1" x14ac:dyDescent="0.2">
      <c r="A148" s="53" t="s">
        <v>339</v>
      </c>
      <c r="B148" s="54">
        <v>2</v>
      </c>
      <c r="C148" s="92">
        <f t="shared" si="207"/>
        <v>104.38083581564808</v>
      </c>
      <c r="D148" s="92">
        <f t="shared" si="208"/>
        <v>99.960418870354729</v>
      </c>
      <c r="E148" s="92">
        <f>VLOOKUP(A148,[3]TRTOTAL!$A$7:$D$313,3,FALSE)</f>
        <v>104.95771809188007</v>
      </c>
      <c r="F148" s="92">
        <f>VLOOKUP(A148,[3]TRTOTAL!$A$7:$D$313,4,FALSE)</f>
        <v>100.37014141528145</v>
      </c>
      <c r="G148" s="92">
        <f t="shared" si="209"/>
        <v>-0.57688227623198429</v>
      </c>
      <c r="H148" s="92">
        <f t="shared" si="210"/>
        <v>-0.40972254492672278</v>
      </c>
      <c r="I148" s="54">
        <v>5.52</v>
      </c>
      <c r="J148" s="56">
        <v>5.52</v>
      </c>
      <c r="K148" s="54">
        <v>2.6</v>
      </c>
      <c r="L148" s="57">
        <v>2</v>
      </c>
      <c r="M148" s="57"/>
      <c r="N148" s="57">
        <v>180</v>
      </c>
      <c r="O148" s="87"/>
      <c r="P148" s="24">
        <f t="shared" si="175"/>
        <v>17</v>
      </c>
      <c r="Q148" s="24">
        <f t="shared" si="176"/>
        <v>9.0500000000000007</v>
      </c>
      <c r="R148" s="24">
        <f t="shared" si="177"/>
        <v>4.3</v>
      </c>
      <c r="S148" s="87">
        <v>9.0500000000000007</v>
      </c>
      <c r="T148" s="21">
        <f t="shared" si="178"/>
        <v>5.73</v>
      </c>
      <c r="U148" s="21">
        <v>2.1</v>
      </c>
      <c r="V148" s="24">
        <f t="shared" si="179"/>
        <v>2.1</v>
      </c>
      <c r="W148" s="24">
        <f t="shared" si="180"/>
        <v>2.2600000000000002</v>
      </c>
      <c r="X148" s="24">
        <f t="shared" si="181"/>
        <v>3.3283734043386315</v>
      </c>
      <c r="Y148" s="25">
        <f t="shared" si="223"/>
        <v>1</v>
      </c>
      <c r="Z148" s="24">
        <f t="shared" si="211"/>
        <v>16.337791034816128</v>
      </c>
      <c r="AA148" s="21">
        <f t="shared" si="182"/>
        <v>0</v>
      </c>
      <c r="AB148" s="24">
        <f t="shared" si="212"/>
        <v>3.87</v>
      </c>
      <c r="AC148" s="24">
        <f t="shared" si="225"/>
        <v>22.854691034816128</v>
      </c>
      <c r="AD148" s="58">
        <f t="shared" si="183"/>
        <v>324</v>
      </c>
      <c r="AE148" s="58">
        <f t="shared" si="184"/>
        <v>330</v>
      </c>
      <c r="AF148" s="21">
        <f t="shared" si="213"/>
        <v>3.15</v>
      </c>
      <c r="AG148" s="77">
        <f t="shared" si="214"/>
        <v>0</v>
      </c>
      <c r="AH148" s="114">
        <f t="shared" si="224"/>
        <v>1</v>
      </c>
      <c r="AI148" s="59">
        <f t="shared" si="215"/>
        <v>102.43303194979761</v>
      </c>
      <c r="AJ148" s="59">
        <f t="shared" si="216"/>
        <v>98.095102418476685</v>
      </c>
      <c r="AK148" s="55"/>
      <c r="AL148" s="55"/>
      <c r="AM148" s="21">
        <f t="shared" si="185"/>
        <v>0</v>
      </c>
      <c r="AN148" s="54">
        <v>9.0500000000000007</v>
      </c>
      <c r="AO148" s="55"/>
      <c r="AP148" s="21">
        <f t="shared" si="186"/>
        <v>0</v>
      </c>
      <c r="AQ148" s="55"/>
      <c r="AR148" s="55"/>
      <c r="AS148" s="21">
        <f t="shared" si="187"/>
        <v>0</v>
      </c>
      <c r="AT148" s="54"/>
      <c r="AU148" s="54"/>
      <c r="AV148" s="21">
        <f t="shared" si="188"/>
        <v>0</v>
      </c>
      <c r="AW148" s="54"/>
      <c r="AX148" s="54"/>
      <c r="AY148" s="21">
        <f t="shared" si="189"/>
        <v>0</v>
      </c>
      <c r="AZ148" s="54"/>
      <c r="BA148" s="54"/>
      <c r="BB148" s="21">
        <f t="shared" si="190"/>
        <v>0</v>
      </c>
      <c r="BC148" s="54"/>
      <c r="BD148" s="54"/>
      <c r="BE148" s="21">
        <f t="shared" si="191"/>
        <v>0</v>
      </c>
      <c r="BF148" s="55"/>
      <c r="BG148" s="55"/>
      <c r="BH148" s="21">
        <f t="shared" si="192"/>
        <v>0</v>
      </c>
      <c r="BI148" s="55"/>
      <c r="BJ148" s="55"/>
      <c r="BK148" s="21">
        <f t="shared" si="193"/>
        <v>0</v>
      </c>
      <c r="BL148" s="55"/>
      <c r="BM148" s="55"/>
      <c r="BN148" s="21">
        <f t="shared" si="194"/>
        <v>0</v>
      </c>
      <c r="BO148" s="55"/>
      <c r="BP148" s="55"/>
      <c r="BQ148" s="21">
        <f t="shared" si="195"/>
        <v>0</v>
      </c>
      <c r="BR148" s="55"/>
      <c r="BS148" s="21">
        <f t="shared" si="196"/>
        <v>0</v>
      </c>
      <c r="BT148" s="56">
        <v>0</v>
      </c>
      <c r="BU148" s="56"/>
      <c r="BV148" s="21">
        <f t="shared" si="197"/>
        <v>0</v>
      </c>
      <c r="BW148" s="77">
        <f t="shared" si="217"/>
        <v>0</v>
      </c>
      <c r="BX148" s="55"/>
      <c r="BY148" s="21">
        <f t="shared" si="198"/>
        <v>0</v>
      </c>
      <c r="BZ148" s="55"/>
      <c r="CA148" s="55"/>
      <c r="CB148" s="21">
        <f t="shared" si="226"/>
        <v>0</v>
      </c>
      <c r="CC148" s="54"/>
      <c r="CD148" s="54"/>
      <c r="CE148" s="21">
        <f t="shared" si="227"/>
        <v>0</v>
      </c>
      <c r="CF148" s="21"/>
      <c r="CG148" s="21"/>
      <c r="CH148" s="21">
        <f t="shared" si="218"/>
        <v>0</v>
      </c>
      <c r="CI148" s="25">
        <f t="shared" si="219"/>
        <v>4.3</v>
      </c>
      <c r="CJ148" s="54"/>
      <c r="CK148" s="21">
        <f t="shared" si="220"/>
        <v>0</v>
      </c>
      <c r="CL148" s="55"/>
      <c r="CM148" s="55"/>
      <c r="CN148" s="60"/>
      <c r="CO148" s="55"/>
      <c r="CP148" s="55"/>
      <c r="CQ148" s="55"/>
      <c r="CR148" s="55"/>
      <c r="CS148" s="55"/>
      <c r="CT148" s="55"/>
      <c r="CU148" s="55"/>
      <c r="CV148" s="55"/>
      <c r="CW148" s="55"/>
      <c r="CX148" s="55"/>
      <c r="CY148" s="21">
        <f t="shared" si="201"/>
        <v>0</v>
      </c>
      <c r="CZ148" s="56"/>
      <c r="DA148" s="56"/>
      <c r="DB148" s="56"/>
      <c r="DC148" s="56"/>
      <c r="DD148" s="61">
        <f t="shared" si="221"/>
        <v>0</v>
      </c>
      <c r="DE148" s="21">
        <f t="shared" si="222"/>
        <v>21</v>
      </c>
      <c r="DF148" s="55">
        <v>17</v>
      </c>
      <c r="DG148" s="55">
        <v>4.3</v>
      </c>
      <c r="DH148" s="55">
        <v>5.73</v>
      </c>
      <c r="DI148" s="55">
        <v>21</v>
      </c>
      <c r="DJ148" s="104"/>
      <c r="DK148" s="53" t="s">
        <v>169</v>
      </c>
      <c r="DM148" s="58">
        <f t="shared" si="205"/>
        <v>909.31118396160002</v>
      </c>
      <c r="DN148" s="58">
        <f t="shared" si="202"/>
        <v>766.2</v>
      </c>
      <c r="DO148" s="21">
        <f t="shared" si="203"/>
        <v>0.84261583219717273</v>
      </c>
      <c r="DP148" s="62">
        <f t="shared" si="204"/>
        <v>1.0190153881885005</v>
      </c>
      <c r="DQ148" s="7" t="s">
        <v>130</v>
      </c>
      <c r="DR148" s="107" t="str">
        <f t="shared" si="206"/>
        <v>yes</v>
      </c>
    </row>
    <row r="149" spans="1:122" ht="12.75" customHeight="1" x14ac:dyDescent="0.2">
      <c r="A149" s="53" t="s">
        <v>340</v>
      </c>
      <c r="B149" s="54">
        <v>1</v>
      </c>
      <c r="C149" s="92">
        <f t="shared" si="207"/>
        <v>138.40967681429126</v>
      </c>
      <c r="D149" s="92">
        <f t="shared" si="208"/>
        <v>128.1413298282545</v>
      </c>
      <c r="E149" s="92">
        <f>VLOOKUP(A149,[3]TRTOTAL!$A$7:$D$313,3,FALSE)</f>
        <v>138.40967681429126</v>
      </c>
      <c r="F149" s="92">
        <f>VLOOKUP(A149,[3]TRTOTAL!$A$7:$D$313,4,FALSE)</f>
        <v>128.1413298282545</v>
      </c>
      <c r="G149" s="92">
        <f t="shared" si="209"/>
        <v>0</v>
      </c>
      <c r="H149" s="92">
        <f t="shared" si="210"/>
        <v>0</v>
      </c>
      <c r="I149" s="54">
        <v>3.84</v>
      </c>
      <c r="J149" s="56">
        <v>3.7</v>
      </c>
      <c r="K149" s="54">
        <v>2</v>
      </c>
      <c r="L149" s="57">
        <v>1</v>
      </c>
      <c r="M149" s="57">
        <v>75</v>
      </c>
      <c r="N149" s="57"/>
      <c r="O149" s="87" t="s">
        <v>133</v>
      </c>
      <c r="P149" s="24">
        <f t="shared" si="175"/>
        <v>8.6</v>
      </c>
      <c r="Q149" s="24">
        <f t="shared" si="176"/>
        <v>6</v>
      </c>
      <c r="R149" s="24">
        <f t="shared" si="177"/>
        <v>0</v>
      </c>
      <c r="S149" s="87">
        <v>6.4</v>
      </c>
      <c r="T149" s="21">
        <f t="shared" si="178"/>
        <v>0</v>
      </c>
      <c r="U149" s="21"/>
      <c r="V149" s="24">
        <f t="shared" si="179"/>
        <v>1.7999999999999998</v>
      </c>
      <c r="W149" s="24">
        <f t="shared" si="180"/>
        <v>1.9599999999999997</v>
      </c>
      <c r="X149" s="24">
        <f t="shared" si="181"/>
        <v>2.2386505622657231</v>
      </c>
      <c r="Y149" s="25">
        <f t="shared" si="223"/>
        <v>1</v>
      </c>
      <c r="Z149" s="24">
        <f t="shared" si="211"/>
        <v>7.3378553530205011</v>
      </c>
      <c r="AA149" s="21">
        <f t="shared" si="182"/>
        <v>0</v>
      </c>
      <c r="AB149" s="24">
        <f t="shared" si="212"/>
        <v>0</v>
      </c>
      <c r="AC149" s="24">
        <f t="shared" si="225"/>
        <v>9.4378553530205007</v>
      </c>
      <c r="AD149" s="58">
        <f t="shared" si="183"/>
        <v>140</v>
      </c>
      <c r="AE149" s="58">
        <f t="shared" si="184"/>
        <v>146</v>
      </c>
      <c r="AF149" s="21">
        <f t="shared" si="213"/>
        <v>2.1</v>
      </c>
      <c r="AG149" s="77">
        <f t="shared" si="214"/>
        <v>0</v>
      </c>
      <c r="AH149" s="114">
        <f t="shared" si="224"/>
        <v>1.04</v>
      </c>
      <c r="AI149" s="59">
        <f t="shared" si="215"/>
        <v>137.1320393754354</v>
      </c>
      <c r="AJ149" s="59">
        <f t="shared" si="216"/>
        <v>125.7014632147887</v>
      </c>
      <c r="AK149" s="55"/>
      <c r="AL149" s="55"/>
      <c r="AM149" s="21">
        <f t="shared" si="185"/>
        <v>0</v>
      </c>
      <c r="AN149" s="54">
        <v>6</v>
      </c>
      <c r="AO149" s="55"/>
      <c r="AP149" s="21">
        <f t="shared" si="186"/>
        <v>0</v>
      </c>
      <c r="AQ149" s="55"/>
      <c r="AR149" s="55"/>
      <c r="AS149" s="21">
        <f t="shared" si="187"/>
        <v>0</v>
      </c>
      <c r="AT149" s="54"/>
      <c r="AU149" s="54"/>
      <c r="AV149" s="21">
        <f t="shared" si="188"/>
        <v>0</v>
      </c>
      <c r="AW149" s="54"/>
      <c r="AX149" s="54"/>
      <c r="AY149" s="21">
        <f t="shared" si="189"/>
        <v>0</v>
      </c>
      <c r="AZ149" s="54"/>
      <c r="BA149" s="54"/>
      <c r="BB149" s="21">
        <f t="shared" si="190"/>
        <v>0</v>
      </c>
      <c r="BC149" s="54"/>
      <c r="BD149" s="54"/>
      <c r="BE149" s="21">
        <f t="shared" si="191"/>
        <v>0</v>
      </c>
      <c r="BF149" s="55"/>
      <c r="BG149" s="55"/>
      <c r="BH149" s="21">
        <f t="shared" si="192"/>
        <v>0</v>
      </c>
      <c r="BI149" s="55"/>
      <c r="BJ149" s="55"/>
      <c r="BK149" s="21">
        <f t="shared" si="193"/>
        <v>0</v>
      </c>
      <c r="BL149" s="55"/>
      <c r="BM149" s="55"/>
      <c r="BN149" s="21">
        <f t="shared" si="194"/>
        <v>0</v>
      </c>
      <c r="BO149" s="55"/>
      <c r="BP149" s="55"/>
      <c r="BQ149" s="21">
        <f t="shared" si="195"/>
        <v>0</v>
      </c>
      <c r="BR149" s="55"/>
      <c r="BS149" s="21">
        <f t="shared" si="196"/>
        <v>0</v>
      </c>
      <c r="BT149" s="56">
        <v>0</v>
      </c>
      <c r="BU149" s="56"/>
      <c r="BV149" s="21">
        <f t="shared" si="197"/>
        <v>0</v>
      </c>
      <c r="BW149" s="77">
        <f t="shared" si="217"/>
        <v>0</v>
      </c>
      <c r="BX149" s="55"/>
      <c r="BY149" s="21">
        <f t="shared" si="198"/>
        <v>0</v>
      </c>
      <c r="BZ149" s="55"/>
      <c r="CA149" s="55"/>
      <c r="CB149" s="21">
        <f t="shared" si="226"/>
        <v>0</v>
      </c>
      <c r="CC149" s="55"/>
      <c r="CD149" s="55"/>
      <c r="CE149" s="21">
        <f t="shared" si="227"/>
        <v>0</v>
      </c>
      <c r="CF149" s="21"/>
      <c r="CG149" s="21"/>
      <c r="CH149" s="21">
        <f t="shared" si="218"/>
        <v>0</v>
      </c>
      <c r="CI149" s="25">
        <f t="shared" si="219"/>
        <v>0</v>
      </c>
      <c r="CJ149" s="54"/>
      <c r="CK149" s="21">
        <f t="shared" si="220"/>
        <v>0</v>
      </c>
      <c r="CL149" s="55"/>
      <c r="CM149" s="55"/>
      <c r="CN149" s="60"/>
      <c r="CO149" s="55"/>
      <c r="CP149" s="55"/>
      <c r="CQ149" s="55"/>
      <c r="CR149" s="55"/>
      <c r="CS149" s="55"/>
      <c r="CT149" s="55"/>
      <c r="CU149" s="55"/>
      <c r="CV149" s="55"/>
      <c r="CW149" s="55"/>
      <c r="CX149" s="55"/>
      <c r="CY149" s="21">
        <f t="shared" si="201"/>
        <v>0</v>
      </c>
      <c r="CZ149" s="56"/>
      <c r="DA149" s="56"/>
      <c r="DB149" s="56"/>
      <c r="DC149" s="56"/>
      <c r="DD149" s="61">
        <f t="shared" si="221"/>
        <v>0</v>
      </c>
      <c r="DE149" s="21">
        <f t="shared" si="222"/>
        <v>0</v>
      </c>
      <c r="DF149" s="55">
        <v>8.6</v>
      </c>
      <c r="DG149" s="55"/>
      <c r="DH149" s="55"/>
      <c r="DI149" s="55"/>
      <c r="DJ149" s="104"/>
      <c r="DK149" s="53"/>
      <c r="DM149" s="58">
        <f t="shared" si="205"/>
        <v>293.74980095999996</v>
      </c>
      <c r="DN149" s="58">
        <f t="shared" si="202"/>
        <v>270</v>
      </c>
      <c r="DO149" s="21">
        <f t="shared" si="203"/>
        <v>0.91914955897030892</v>
      </c>
      <c r="DP149" s="62">
        <f t="shared" si="204"/>
        <v>1.0093168412332729</v>
      </c>
      <c r="DQ149" s="7">
        <v>0</v>
      </c>
      <c r="DR149" s="107">
        <f t="shared" si="206"/>
        <v>0</v>
      </c>
    </row>
    <row r="150" spans="1:122" ht="12.75" customHeight="1" x14ac:dyDescent="0.2">
      <c r="A150" s="53" t="s">
        <v>341</v>
      </c>
      <c r="B150" s="54">
        <v>2</v>
      </c>
      <c r="C150" s="92">
        <f t="shared" si="207"/>
        <v>103.63108189804623</v>
      </c>
      <c r="D150" s="92">
        <f t="shared" si="208"/>
        <v>98.78645134783315</v>
      </c>
      <c r="E150" s="92">
        <f>VLOOKUP(A150,[3]TRTOTAL!$A$7:$D$313,3,FALSE)</f>
        <v>103.63108189804623</v>
      </c>
      <c r="F150" s="92">
        <f>VLOOKUP(A150,[3]TRTOTAL!$A$7:$D$313,4,FALSE)</f>
        <v>98.78645134783315</v>
      </c>
      <c r="G150" s="92">
        <f t="shared" si="209"/>
        <v>0</v>
      </c>
      <c r="H150" s="92">
        <f t="shared" si="210"/>
        <v>0</v>
      </c>
      <c r="I150" s="54">
        <v>5.9</v>
      </c>
      <c r="J150" s="56">
        <v>5.82</v>
      </c>
      <c r="K150" s="54">
        <v>2.5</v>
      </c>
      <c r="L150" s="57">
        <v>2</v>
      </c>
      <c r="M150" s="57">
        <v>201</v>
      </c>
      <c r="N150" s="57"/>
      <c r="O150" s="87"/>
      <c r="P150" s="24">
        <f t="shared" si="175"/>
        <v>18.033060500000001</v>
      </c>
      <c r="Q150" s="24">
        <f t="shared" si="176"/>
        <v>8.8049999999999997</v>
      </c>
      <c r="R150" s="24">
        <f t="shared" si="177"/>
        <v>6.3469293333333328</v>
      </c>
      <c r="S150" s="87">
        <v>9.1999999999999993</v>
      </c>
      <c r="T150" s="21">
        <f t="shared" si="178"/>
        <v>5.8637199999999998</v>
      </c>
      <c r="U150" s="21"/>
      <c r="V150" s="24">
        <f t="shared" si="179"/>
        <v>2.3610000000000002</v>
      </c>
      <c r="W150" s="24">
        <f t="shared" si="180"/>
        <v>2.5310000000000001</v>
      </c>
      <c r="X150" s="24">
        <f t="shared" si="181"/>
        <v>2.8150437537787072</v>
      </c>
      <c r="Y150" s="25">
        <f t="shared" si="223"/>
        <v>1</v>
      </c>
      <c r="Z150" s="24">
        <f t="shared" si="211"/>
        <v>16.481236342478947</v>
      </c>
      <c r="AA150" s="21">
        <f t="shared" si="182"/>
        <v>1.461397074625179</v>
      </c>
      <c r="AB150" s="24">
        <f t="shared" si="212"/>
        <v>5.1206681214290297</v>
      </c>
      <c r="AC150" s="24">
        <f t="shared" si="225"/>
        <v>24.686217608122206</v>
      </c>
      <c r="AD150" s="58">
        <f t="shared" si="183"/>
        <v>351</v>
      </c>
      <c r="AE150" s="58">
        <f t="shared" si="184"/>
        <v>357</v>
      </c>
      <c r="AF150" s="21">
        <f t="shared" si="213"/>
        <v>3.75</v>
      </c>
      <c r="AG150" s="77">
        <f t="shared" si="214"/>
        <v>0</v>
      </c>
      <c r="AH150" s="114">
        <f t="shared" si="224"/>
        <v>1</v>
      </c>
      <c r="AI150" s="59">
        <f t="shared" si="215"/>
        <v>100.75190366082627</v>
      </c>
      <c r="AJ150" s="59">
        <f t="shared" si="216"/>
        <v>96.041871288998195</v>
      </c>
      <c r="AK150" s="55">
        <v>8.8049999999999997</v>
      </c>
      <c r="AL150" s="55">
        <v>2.3610000000000002</v>
      </c>
      <c r="AM150" s="21">
        <f t="shared" si="185"/>
        <v>10.3943025</v>
      </c>
      <c r="AN150" s="54">
        <v>8.8049999999999997</v>
      </c>
      <c r="AO150" s="55">
        <v>0.22</v>
      </c>
      <c r="AP150" s="21">
        <f t="shared" si="186"/>
        <v>1.2914000000000001</v>
      </c>
      <c r="AQ150" s="55">
        <v>7.2119999999999997</v>
      </c>
      <c r="AR150" s="55">
        <v>0.39500000000000002</v>
      </c>
      <c r="AS150" s="21">
        <f t="shared" si="187"/>
        <v>1.89916</v>
      </c>
      <c r="AT150" s="54">
        <v>8.6449999999999996</v>
      </c>
      <c r="AU150" s="54">
        <v>0.63</v>
      </c>
      <c r="AV150" s="21">
        <f t="shared" si="188"/>
        <v>2.7231749999999999</v>
      </c>
      <c r="AW150" s="54">
        <v>1.593</v>
      </c>
      <c r="AX150" s="54">
        <v>0.15</v>
      </c>
      <c r="AY150" s="21">
        <f t="shared" si="189"/>
        <v>0.119475</v>
      </c>
      <c r="AZ150" s="54"/>
      <c r="BA150" s="54"/>
      <c r="BB150" s="21">
        <f t="shared" si="190"/>
        <v>0</v>
      </c>
      <c r="BC150" s="54"/>
      <c r="BD150" s="54"/>
      <c r="BE150" s="21">
        <f t="shared" si="191"/>
        <v>0</v>
      </c>
      <c r="BF150" s="55">
        <v>0.88400000000000001</v>
      </c>
      <c r="BG150" s="55">
        <v>9.4E-2</v>
      </c>
      <c r="BH150" s="21">
        <f t="shared" si="192"/>
        <v>4.1548000000000002E-2</v>
      </c>
      <c r="BI150" s="55"/>
      <c r="BJ150" s="55"/>
      <c r="BK150" s="21">
        <f t="shared" si="193"/>
        <v>0</v>
      </c>
      <c r="BL150" s="55"/>
      <c r="BM150" s="55"/>
      <c r="BN150" s="21">
        <f t="shared" si="194"/>
        <v>0</v>
      </c>
      <c r="BO150" s="55"/>
      <c r="BP150" s="55"/>
      <c r="BQ150" s="21">
        <f t="shared" si="195"/>
        <v>0</v>
      </c>
      <c r="BR150" s="55"/>
      <c r="BS150" s="21">
        <f t="shared" si="196"/>
        <v>16.469060500000001</v>
      </c>
      <c r="BT150" s="56">
        <v>6.2380000000000004</v>
      </c>
      <c r="BU150" s="56">
        <v>2.0840000000000001</v>
      </c>
      <c r="BV150" s="21">
        <f t="shared" si="197"/>
        <v>6.4999960000000003</v>
      </c>
      <c r="BW150" s="77">
        <f t="shared" si="217"/>
        <v>6.2380000000000004</v>
      </c>
      <c r="BX150" s="55">
        <v>2.5000000000000001E-2</v>
      </c>
      <c r="BY150" s="21">
        <f t="shared" si="198"/>
        <v>0.10396666666666669</v>
      </c>
      <c r="BZ150" s="55">
        <v>5.83</v>
      </c>
      <c r="CA150" s="55">
        <v>-0.104</v>
      </c>
      <c r="CB150" s="21">
        <f t="shared" si="226"/>
        <v>-0.40421333333333331</v>
      </c>
      <c r="CC150" s="55">
        <v>2.23</v>
      </c>
      <c r="CD150" s="55">
        <v>9.9000000000000005E-2</v>
      </c>
      <c r="CE150" s="21">
        <f t="shared" si="227"/>
        <v>0.14718000000000001</v>
      </c>
      <c r="CF150" s="21"/>
      <c r="CG150" s="21"/>
      <c r="CH150" s="21">
        <f t="shared" si="218"/>
        <v>0</v>
      </c>
      <c r="CI150" s="25">
        <f t="shared" si="219"/>
        <v>6.3469293333333328</v>
      </c>
      <c r="CJ150" s="54">
        <v>0.34</v>
      </c>
      <c r="CK150" s="21">
        <f t="shared" si="220"/>
        <v>1.5640000000000001</v>
      </c>
      <c r="CL150" s="55">
        <v>284</v>
      </c>
      <c r="CM150" s="55"/>
      <c r="CN150" s="60"/>
      <c r="CO150" s="55"/>
      <c r="CP150" s="55"/>
      <c r="CQ150" s="55"/>
      <c r="CR150" s="55"/>
      <c r="CS150" s="55"/>
      <c r="CT150" s="55"/>
      <c r="CU150" s="55"/>
      <c r="CV150" s="55"/>
      <c r="CW150" s="55"/>
      <c r="CX150" s="55"/>
      <c r="CY150" s="21">
        <f t="shared" si="201"/>
        <v>0</v>
      </c>
      <c r="CZ150" s="56"/>
      <c r="DA150" s="56"/>
      <c r="DB150" s="56"/>
      <c r="DC150" s="56"/>
      <c r="DD150" s="61">
        <f t="shared" si="221"/>
        <v>0</v>
      </c>
      <c r="DE150" s="21">
        <f t="shared" si="222"/>
        <v>0</v>
      </c>
      <c r="DF150" s="55"/>
      <c r="DG150" s="55"/>
      <c r="DH150" s="55"/>
      <c r="DI150" s="55"/>
      <c r="DJ150" s="104"/>
      <c r="DK150" s="53"/>
      <c r="DM150" s="58">
        <f t="shared" si="205"/>
        <v>1002.8708090314767</v>
      </c>
      <c r="DN150" s="58">
        <f t="shared" si="202"/>
        <v>776.25</v>
      </c>
      <c r="DO150" s="21">
        <f t="shared" si="203"/>
        <v>0.77402791367480728</v>
      </c>
      <c r="DP150" s="62">
        <f t="shared" si="204"/>
        <v>1.0285769115282675</v>
      </c>
      <c r="DQ150" s="7">
        <v>0</v>
      </c>
      <c r="DR150" s="107">
        <f t="shared" si="206"/>
        <v>0</v>
      </c>
    </row>
    <row r="151" spans="1:122" ht="12.75" customHeight="1" x14ac:dyDescent="0.2">
      <c r="A151" s="53" t="s">
        <v>342</v>
      </c>
      <c r="B151" s="54">
        <v>2</v>
      </c>
      <c r="C151" s="92">
        <f t="shared" si="207"/>
        <v>102.47239548836095</v>
      </c>
      <c r="D151" s="92">
        <f t="shared" si="208"/>
        <v>97.224631440391107</v>
      </c>
      <c r="E151" s="92">
        <f>VLOOKUP(A151,[3]TRTOTAL!$A$7:$D$313,3,FALSE)</f>
        <v>102.47239548836095</v>
      </c>
      <c r="F151" s="92">
        <f>VLOOKUP(A151,[3]TRTOTAL!$A$7:$D$313,4,FALSE)</f>
        <v>97.224631440391107</v>
      </c>
      <c r="G151" s="92">
        <f t="shared" si="209"/>
        <v>0</v>
      </c>
      <c r="H151" s="92">
        <f t="shared" si="210"/>
        <v>0</v>
      </c>
      <c r="I151" s="54">
        <v>5.9</v>
      </c>
      <c r="J151" s="56">
        <v>5.82</v>
      </c>
      <c r="K151" s="54">
        <v>2.6</v>
      </c>
      <c r="L151" s="57">
        <v>2</v>
      </c>
      <c r="M151" s="57">
        <v>182</v>
      </c>
      <c r="N151" s="57"/>
      <c r="O151" s="87"/>
      <c r="P151" s="24">
        <f t="shared" si="175"/>
        <v>18.146341666666665</v>
      </c>
      <c r="Q151" s="24">
        <f t="shared" si="176"/>
        <v>8.7100000000000009</v>
      </c>
      <c r="R151" s="24">
        <f t="shared" si="177"/>
        <v>4.2510000000000003</v>
      </c>
      <c r="S151" s="87">
        <v>9.1999999999999993</v>
      </c>
      <c r="T151" s="21">
        <f t="shared" si="178"/>
        <v>5.593</v>
      </c>
      <c r="U151" s="21"/>
      <c r="V151" s="24">
        <f t="shared" si="179"/>
        <v>2.2349999999999999</v>
      </c>
      <c r="W151" s="24">
        <f t="shared" si="180"/>
        <v>2.3899999999999997</v>
      </c>
      <c r="X151" s="24">
        <f t="shared" si="181"/>
        <v>3.1768249272013214</v>
      </c>
      <c r="Y151" s="25">
        <f t="shared" si="223"/>
        <v>1</v>
      </c>
      <c r="Z151" s="24">
        <f t="shared" si="211"/>
        <v>17.197363496196225</v>
      </c>
      <c r="AA151" s="21">
        <f t="shared" si="182"/>
        <v>1.7924607859672796</v>
      </c>
      <c r="AB151" s="24">
        <f t="shared" si="212"/>
        <v>3.6463512401292197</v>
      </c>
      <c r="AC151" s="24">
        <f t="shared" si="225"/>
        <v>24.119689075108646</v>
      </c>
      <c r="AD151" s="58">
        <f t="shared" si="183"/>
        <v>332</v>
      </c>
      <c r="AE151" s="58">
        <f t="shared" si="184"/>
        <v>338</v>
      </c>
      <c r="AF151" s="21">
        <f t="shared" si="213"/>
        <v>3.75</v>
      </c>
      <c r="AG151" s="77">
        <f t="shared" si="214"/>
        <v>0</v>
      </c>
      <c r="AH151" s="114">
        <f t="shared" si="224"/>
        <v>1</v>
      </c>
      <c r="AI151" s="59">
        <f t="shared" si="215"/>
        <v>100.37027016031871</v>
      </c>
      <c r="AJ151" s="59">
        <f t="shared" si="216"/>
        <v>95.23015908238294</v>
      </c>
      <c r="AK151" s="55">
        <v>8.7100000000000009</v>
      </c>
      <c r="AL151" s="55">
        <v>2.2349999999999999</v>
      </c>
      <c r="AM151" s="21">
        <f t="shared" si="185"/>
        <v>9.7334250000000004</v>
      </c>
      <c r="AN151" s="54">
        <v>8.7100000000000009</v>
      </c>
      <c r="AO151" s="55">
        <v>0.23</v>
      </c>
      <c r="AP151" s="21">
        <f t="shared" si="186"/>
        <v>1.3355333333333335</v>
      </c>
      <c r="AQ151" s="55"/>
      <c r="AR151" s="55"/>
      <c r="AS151" s="21">
        <f t="shared" si="187"/>
        <v>0</v>
      </c>
      <c r="AT151" s="54">
        <v>8.5299999999999994</v>
      </c>
      <c r="AU151" s="54">
        <v>0.78</v>
      </c>
      <c r="AV151" s="21">
        <f t="shared" si="188"/>
        <v>3.3266999999999998</v>
      </c>
      <c r="AW151" s="54">
        <v>4.74</v>
      </c>
      <c r="AX151" s="54">
        <v>0.125</v>
      </c>
      <c r="AY151" s="21">
        <f t="shared" si="189"/>
        <v>0.29625000000000001</v>
      </c>
      <c r="AZ151" s="54">
        <v>4.665</v>
      </c>
      <c r="BA151" s="54">
        <v>0.61</v>
      </c>
      <c r="BB151" s="21">
        <f t="shared" si="190"/>
        <v>1.8971</v>
      </c>
      <c r="BC151" s="54">
        <v>3.94</v>
      </c>
      <c r="BD151" s="54">
        <v>0.05</v>
      </c>
      <c r="BE151" s="21">
        <f t="shared" si="191"/>
        <v>0.13133333333333333</v>
      </c>
      <c r="BF151" s="55">
        <v>0</v>
      </c>
      <c r="BG151" s="55">
        <v>0</v>
      </c>
      <c r="BH151" s="21">
        <f t="shared" si="192"/>
        <v>0</v>
      </c>
      <c r="BI151" s="55"/>
      <c r="BJ151" s="55"/>
      <c r="BK151" s="21">
        <f t="shared" si="193"/>
        <v>0</v>
      </c>
      <c r="BL151" s="55">
        <v>0</v>
      </c>
      <c r="BM151" s="55">
        <v>0</v>
      </c>
      <c r="BN151" s="21">
        <f t="shared" si="194"/>
        <v>0</v>
      </c>
      <c r="BO151" s="55"/>
      <c r="BP151" s="55"/>
      <c r="BQ151" s="21">
        <f t="shared" si="195"/>
        <v>0</v>
      </c>
      <c r="BR151" s="55"/>
      <c r="BS151" s="21">
        <f t="shared" si="196"/>
        <v>16.720341666666666</v>
      </c>
      <c r="BT151" s="56">
        <v>5.95</v>
      </c>
      <c r="BU151" s="56">
        <v>1.54</v>
      </c>
      <c r="BV151" s="21">
        <f t="shared" si="197"/>
        <v>4.5815000000000001</v>
      </c>
      <c r="BW151" s="77">
        <f t="shared" si="217"/>
        <v>5.95</v>
      </c>
      <c r="BX151" s="55">
        <v>0</v>
      </c>
      <c r="BY151" s="21">
        <f t="shared" si="198"/>
        <v>0</v>
      </c>
      <c r="BZ151" s="55">
        <v>5.25</v>
      </c>
      <c r="CA151" s="55">
        <v>-0.115</v>
      </c>
      <c r="CB151" s="21">
        <f t="shared" si="226"/>
        <v>-0.40250000000000002</v>
      </c>
      <c r="CC151" s="54">
        <v>1.8</v>
      </c>
      <c r="CD151" s="54">
        <v>0.06</v>
      </c>
      <c r="CE151" s="21">
        <f t="shared" si="227"/>
        <v>7.1999999999999995E-2</v>
      </c>
      <c r="CF151" s="21"/>
      <c r="CG151" s="21"/>
      <c r="CH151" s="21">
        <f t="shared" si="218"/>
        <v>0</v>
      </c>
      <c r="CI151" s="25">
        <f t="shared" si="219"/>
        <v>4.2510000000000003</v>
      </c>
      <c r="CJ151" s="54">
        <v>0.31</v>
      </c>
      <c r="CK151" s="21">
        <f t="shared" si="220"/>
        <v>1.4259999999999999</v>
      </c>
      <c r="CL151" s="55" t="s">
        <v>343</v>
      </c>
      <c r="CM151" s="55"/>
      <c r="CN151" s="60"/>
      <c r="CO151" s="55"/>
      <c r="CP151" s="55"/>
      <c r="CQ151" s="55"/>
      <c r="CR151" s="55"/>
      <c r="CS151" s="55"/>
      <c r="CT151" s="55"/>
      <c r="CU151" s="55"/>
      <c r="CV151" s="55"/>
      <c r="CW151" s="55"/>
      <c r="CX151" s="55"/>
      <c r="CY151" s="21">
        <f t="shared" si="201"/>
        <v>0</v>
      </c>
      <c r="CZ151" s="56"/>
      <c r="DA151" s="56"/>
      <c r="DB151" s="56"/>
      <c r="DC151" s="56"/>
      <c r="DD151" s="61">
        <f t="shared" si="221"/>
        <v>0</v>
      </c>
      <c r="DE151" s="21">
        <f t="shared" si="222"/>
        <v>0</v>
      </c>
      <c r="DF151" s="55"/>
      <c r="DG151" s="55"/>
      <c r="DH151" s="55"/>
      <c r="DI151" s="55"/>
      <c r="DJ151" s="104"/>
      <c r="DK151" s="53"/>
      <c r="DM151" s="58">
        <f t="shared" si="205"/>
        <v>937.63085918051195</v>
      </c>
      <c r="DN151" s="58">
        <f t="shared" si="202"/>
        <v>776.6</v>
      </c>
      <c r="DO151" s="21">
        <f t="shared" si="203"/>
        <v>0.82825772253138863</v>
      </c>
      <c r="DP151" s="62">
        <f t="shared" si="204"/>
        <v>1.0209437049903778</v>
      </c>
      <c r="DQ151" s="7">
        <v>0</v>
      </c>
      <c r="DR151" s="107">
        <f t="shared" si="206"/>
        <v>0</v>
      </c>
    </row>
    <row r="152" spans="1:122" ht="12.75" customHeight="1" x14ac:dyDescent="0.2">
      <c r="A152" s="53" t="s">
        <v>344</v>
      </c>
      <c r="B152" s="54">
        <v>2</v>
      </c>
      <c r="C152" s="92">
        <f t="shared" si="207"/>
        <v>95.784708212708765</v>
      </c>
      <c r="D152" s="92">
        <f t="shared" si="208"/>
        <v>91.24738897229436</v>
      </c>
      <c r="E152" s="92">
        <f>VLOOKUP(A152,[3]TRTOTAL!$A$7:$D$313,3,FALSE)</f>
        <v>95.784708212708765</v>
      </c>
      <c r="F152" s="92">
        <f>VLOOKUP(A152,[3]TRTOTAL!$A$7:$D$313,4,FALSE)</f>
        <v>91.24738897229436</v>
      </c>
      <c r="G152" s="92">
        <f t="shared" si="209"/>
        <v>0</v>
      </c>
      <c r="H152" s="92">
        <f t="shared" si="210"/>
        <v>0</v>
      </c>
      <c r="I152" s="54">
        <v>6.11</v>
      </c>
      <c r="J152" s="56">
        <v>6.11</v>
      </c>
      <c r="K152" s="54">
        <v>3.05</v>
      </c>
      <c r="L152" s="57">
        <v>2</v>
      </c>
      <c r="M152" s="57">
        <v>149</v>
      </c>
      <c r="N152" s="57"/>
      <c r="O152" s="87"/>
      <c r="P152" s="24">
        <f t="shared" si="175"/>
        <v>19.514800000000001</v>
      </c>
      <c r="Q152" s="24">
        <f t="shared" si="176"/>
        <v>9.52</v>
      </c>
      <c r="R152" s="24">
        <f t="shared" si="177"/>
        <v>4.7557666666666671</v>
      </c>
      <c r="S152" s="87">
        <v>9.9</v>
      </c>
      <c r="T152" s="21">
        <f t="shared" si="178"/>
        <v>6.2510000000000003</v>
      </c>
      <c r="U152" s="21"/>
      <c r="V152" s="24">
        <f t="shared" si="179"/>
        <v>2.38</v>
      </c>
      <c r="W152" s="24">
        <f t="shared" si="180"/>
        <v>2.57</v>
      </c>
      <c r="X152" s="24">
        <f t="shared" si="181"/>
        <v>2.954594316340899</v>
      </c>
      <c r="Y152" s="25">
        <f t="shared" si="223"/>
        <v>1</v>
      </c>
      <c r="Z152" s="24">
        <f t="shared" si="211"/>
        <v>18.096236558866106</v>
      </c>
      <c r="AA152" s="21">
        <f t="shared" si="182"/>
        <v>2.0052988137403722</v>
      </c>
      <c r="AB152" s="24">
        <f t="shared" si="212"/>
        <v>4.2189731750794985</v>
      </c>
      <c r="AC152" s="24">
        <f t="shared" si="225"/>
        <v>25.603603221185267</v>
      </c>
      <c r="AD152" s="58">
        <f t="shared" si="183"/>
        <v>299</v>
      </c>
      <c r="AE152" s="58">
        <f t="shared" si="184"/>
        <v>305</v>
      </c>
      <c r="AF152" s="21">
        <f t="shared" si="213"/>
        <v>3.8368599999999993</v>
      </c>
      <c r="AG152" s="77">
        <f t="shared" si="214"/>
        <v>0</v>
      </c>
      <c r="AH152" s="114">
        <f t="shared" si="224"/>
        <v>1</v>
      </c>
      <c r="AI152" s="59">
        <f t="shared" si="215"/>
        <v>93.03418202502553</v>
      </c>
      <c r="AJ152" s="59">
        <f t="shared" si="216"/>
        <v>88.627155141559413</v>
      </c>
      <c r="AK152" s="55">
        <v>9.52</v>
      </c>
      <c r="AL152" s="55">
        <v>2.38</v>
      </c>
      <c r="AM152" s="21">
        <f t="shared" si="185"/>
        <v>11.328799999999999</v>
      </c>
      <c r="AN152" s="54">
        <v>9.52</v>
      </c>
      <c r="AO152" s="55">
        <v>0.16</v>
      </c>
      <c r="AP152" s="21">
        <f t="shared" si="186"/>
        <v>1.0154666666666665</v>
      </c>
      <c r="AQ152" s="55"/>
      <c r="AR152" s="55">
        <v>0</v>
      </c>
      <c r="AS152" s="21">
        <f t="shared" si="187"/>
        <v>0</v>
      </c>
      <c r="AT152" s="54">
        <v>9.42</v>
      </c>
      <c r="AU152" s="54">
        <v>0.7</v>
      </c>
      <c r="AV152" s="21">
        <f t="shared" si="188"/>
        <v>3.2969999999999997</v>
      </c>
      <c r="AW152" s="54"/>
      <c r="AX152" s="54"/>
      <c r="AY152" s="21">
        <f t="shared" si="189"/>
        <v>0</v>
      </c>
      <c r="AZ152" s="54">
        <v>9.34</v>
      </c>
      <c r="BA152" s="54">
        <v>0.32</v>
      </c>
      <c r="BB152" s="21">
        <f t="shared" si="190"/>
        <v>1.9925333333333333</v>
      </c>
      <c r="BC152" s="54"/>
      <c r="BD152" s="54"/>
      <c r="BE152" s="21">
        <f t="shared" si="191"/>
        <v>0</v>
      </c>
      <c r="BF152" s="55"/>
      <c r="BG152" s="55"/>
      <c r="BH152" s="21">
        <f t="shared" si="192"/>
        <v>0</v>
      </c>
      <c r="BI152" s="55"/>
      <c r="BJ152" s="55"/>
      <c r="BK152" s="21">
        <f t="shared" si="193"/>
        <v>0</v>
      </c>
      <c r="BL152" s="55"/>
      <c r="BM152" s="55"/>
      <c r="BN152" s="21">
        <f t="shared" si="194"/>
        <v>0</v>
      </c>
      <c r="BO152" s="55"/>
      <c r="BP152" s="55"/>
      <c r="BQ152" s="21">
        <f t="shared" si="195"/>
        <v>0</v>
      </c>
      <c r="BR152" s="55"/>
      <c r="BS152" s="21">
        <f t="shared" si="196"/>
        <v>17.633800000000001</v>
      </c>
      <c r="BT152" s="56">
        <v>6.65</v>
      </c>
      <c r="BU152" s="56">
        <v>1.54</v>
      </c>
      <c r="BV152" s="21">
        <f t="shared" si="197"/>
        <v>5.1205000000000007</v>
      </c>
      <c r="BW152" s="77">
        <f t="shared" si="217"/>
        <v>6.65</v>
      </c>
      <c r="BX152" s="55">
        <v>0.02</v>
      </c>
      <c r="BY152" s="21">
        <f t="shared" si="198"/>
        <v>8.8666666666666671E-2</v>
      </c>
      <c r="BZ152" s="55">
        <v>6.33</v>
      </c>
      <c r="CA152" s="55">
        <v>-0.11</v>
      </c>
      <c r="CB152" s="21">
        <f t="shared" si="226"/>
        <v>-0.4642</v>
      </c>
      <c r="CC152" s="54">
        <v>1.62</v>
      </c>
      <c r="CD152" s="54">
        <v>0.01</v>
      </c>
      <c r="CE152" s="21">
        <f t="shared" si="227"/>
        <v>1.0800000000000002E-2</v>
      </c>
      <c r="CF152" s="21"/>
      <c r="CG152" s="21"/>
      <c r="CH152" s="21">
        <f t="shared" si="218"/>
        <v>0</v>
      </c>
      <c r="CI152" s="25">
        <f t="shared" si="219"/>
        <v>4.7557666666666671</v>
      </c>
      <c r="CJ152" s="54">
        <v>0.38</v>
      </c>
      <c r="CK152" s="21">
        <f t="shared" si="220"/>
        <v>1.881</v>
      </c>
      <c r="CL152" s="55">
        <v>2004</v>
      </c>
      <c r="CM152" s="55"/>
      <c r="CN152" s="60">
        <v>36699</v>
      </c>
      <c r="CO152" s="55" t="s">
        <v>271</v>
      </c>
      <c r="CP152" s="55"/>
      <c r="CQ152" s="55"/>
      <c r="CR152" s="55"/>
      <c r="CS152" s="55"/>
      <c r="CT152" s="55"/>
      <c r="CU152" s="55"/>
      <c r="CV152" s="55"/>
      <c r="CW152" s="55"/>
      <c r="CX152" s="55"/>
      <c r="CY152" s="21">
        <f t="shared" si="201"/>
        <v>0</v>
      </c>
      <c r="CZ152" s="56">
        <v>4.3600000000000003</v>
      </c>
      <c r="DA152" s="56">
        <v>9.36</v>
      </c>
      <c r="DB152" s="56">
        <v>8.1999999999999993</v>
      </c>
      <c r="DC152" s="56">
        <v>3.28</v>
      </c>
      <c r="DD152" s="61">
        <f t="shared" si="221"/>
        <v>0.75229357798165131</v>
      </c>
      <c r="DE152" s="21">
        <f t="shared" si="222"/>
        <v>25.579066666666662</v>
      </c>
      <c r="DF152" s="55"/>
      <c r="DG152" s="55"/>
      <c r="DH152" s="55"/>
      <c r="DI152" s="55"/>
      <c r="DJ152" s="104"/>
      <c r="DK152" s="53"/>
      <c r="DM152" s="58">
        <f t="shared" si="205"/>
        <v>1087.8687077373604</v>
      </c>
      <c r="DN152" s="58">
        <f t="shared" si="202"/>
        <v>834.72500000000002</v>
      </c>
      <c r="DO152" s="21">
        <f t="shared" si="203"/>
        <v>0.7673030707318812</v>
      </c>
      <c r="DP152" s="62">
        <f t="shared" si="204"/>
        <v>1.0295646839453414</v>
      </c>
      <c r="DQ152" s="7">
        <v>0</v>
      </c>
      <c r="DR152" s="107">
        <f t="shared" si="206"/>
        <v>0</v>
      </c>
    </row>
    <row r="153" spans="1:122" ht="12.75" customHeight="1" x14ac:dyDescent="0.2">
      <c r="A153" s="53" t="s">
        <v>345</v>
      </c>
      <c r="B153" s="54">
        <v>2</v>
      </c>
      <c r="C153" s="92">
        <f t="shared" si="207"/>
        <v>115.50192440175486</v>
      </c>
      <c r="D153" s="92">
        <f t="shared" si="208"/>
        <v>109.56230338717859</v>
      </c>
      <c r="E153" s="92">
        <f>VLOOKUP(A153,[3]TRTOTAL!$A$7:$D$313,3,FALSE)</f>
        <v>115.50192440175486</v>
      </c>
      <c r="F153" s="92">
        <f>VLOOKUP(A153,[3]TRTOTAL!$A$7:$D$313,4,FALSE)</f>
        <v>109.56230338717859</v>
      </c>
      <c r="G153" s="92">
        <f t="shared" si="209"/>
        <v>0</v>
      </c>
      <c r="H153" s="92">
        <f t="shared" si="210"/>
        <v>0</v>
      </c>
      <c r="I153" s="54">
        <v>5</v>
      </c>
      <c r="J153" s="56">
        <v>4.96</v>
      </c>
      <c r="K153" s="54">
        <v>2.5</v>
      </c>
      <c r="L153" s="57">
        <v>2</v>
      </c>
      <c r="M153" s="57">
        <v>146.1</v>
      </c>
      <c r="N153" s="57"/>
      <c r="O153" s="87" t="s">
        <v>133</v>
      </c>
      <c r="P153" s="24">
        <f t="shared" si="175"/>
        <v>14.313628166666668</v>
      </c>
      <c r="Q153" s="24">
        <f t="shared" si="176"/>
        <v>8.02</v>
      </c>
      <c r="R153" s="24">
        <f t="shared" si="177"/>
        <v>4.5610850000000003</v>
      </c>
      <c r="S153" s="87">
        <v>8.3000000000000007</v>
      </c>
      <c r="T153" s="21">
        <f t="shared" si="178"/>
        <v>5.2781000000000002</v>
      </c>
      <c r="U153" s="21"/>
      <c r="V153" s="24">
        <f t="shared" si="179"/>
        <v>2.0739999999999998</v>
      </c>
      <c r="W153" s="24">
        <f t="shared" si="180"/>
        <v>2.2409999999999997</v>
      </c>
      <c r="X153" s="24">
        <f t="shared" si="181"/>
        <v>2.8501388501433316</v>
      </c>
      <c r="Y153" s="25">
        <f t="shared" si="223"/>
        <v>1</v>
      </c>
      <c r="Z153" s="24">
        <f t="shared" si="211"/>
        <v>13.130592976017088</v>
      </c>
      <c r="AA153" s="21">
        <f t="shared" si="182"/>
        <v>1.3922300906565734</v>
      </c>
      <c r="AB153" s="24">
        <f t="shared" si="212"/>
        <v>3.6267194969495553</v>
      </c>
      <c r="AC153" s="24">
        <f t="shared" si="225"/>
        <v>19.435838938363201</v>
      </c>
      <c r="AD153" s="58">
        <f t="shared" si="183"/>
        <v>296.10000000000002</v>
      </c>
      <c r="AE153" s="58">
        <f t="shared" si="184"/>
        <v>302.10000000000002</v>
      </c>
      <c r="AF153" s="21">
        <f t="shared" si="213"/>
        <v>3.15</v>
      </c>
      <c r="AG153" s="77">
        <f t="shared" si="214"/>
        <v>0</v>
      </c>
      <c r="AH153" s="114">
        <f t="shared" si="224"/>
        <v>1.04</v>
      </c>
      <c r="AI153" s="59">
        <f t="shared" si="215"/>
        <v>115.14013417107697</v>
      </c>
      <c r="AJ153" s="59">
        <f t="shared" si="216"/>
        <v>109.21911801410918</v>
      </c>
      <c r="AK153" s="55">
        <v>8.02</v>
      </c>
      <c r="AL153" s="55">
        <v>2.0739999999999998</v>
      </c>
      <c r="AM153" s="21">
        <f t="shared" si="185"/>
        <v>8.3167399999999994</v>
      </c>
      <c r="AN153" s="54">
        <v>8.02</v>
      </c>
      <c r="AO153" s="55">
        <v>0.112</v>
      </c>
      <c r="AP153" s="21">
        <f t="shared" si="186"/>
        <v>0.59882666666666662</v>
      </c>
      <c r="AQ153" s="55"/>
      <c r="AR153" s="55"/>
      <c r="AS153" s="21">
        <f t="shared" si="187"/>
        <v>0</v>
      </c>
      <c r="AT153" s="54">
        <v>8.0350000000000001</v>
      </c>
      <c r="AU153" s="54">
        <v>0.80900000000000005</v>
      </c>
      <c r="AV153" s="21">
        <f t="shared" si="188"/>
        <v>3.2501575000000003</v>
      </c>
      <c r="AW153" s="54">
        <v>2.036</v>
      </c>
      <c r="AX153" s="54">
        <v>0.216</v>
      </c>
      <c r="AY153" s="21">
        <f t="shared" si="189"/>
        <v>0.219888</v>
      </c>
      <c r="AZ153" s="54">
        <v>5.18</v>
      </c>
      <c r="BA153" s="54">
        <v>0.13500000000000001</v>
      </c>
      <c r="BB153" s="21">
        <f t="shared" si="190"/>
        <v>0.4662</v>
      </c>
      <c r="BC153" s="54"/>
      <c r="BD153" s="54"/>
      <c r="BE153" s="21">
        <f t="shared" si="191"/>
        <v>0</v>
      </c>
      <c r="BF153" s="55">
        <v>1.6459999999999999</v>
      </c>
      <c r="BG153" s="55">
        <v>9.1999999999999998E-2</v>
      </c>
      <c r="BH153" s="21">
        <f t="shared" si="192"/>
        <v>7.5715999999999992E-2</v>
      </c>
      <c r="BI153" s="55"/>
      <c r="BJ153" s="55"/>
      <c r="BK153" s="21">
        <f t="shared" si="193"/>
        <v>0</v>
      </c>
      <c r="BL153" s="55"/>
      <c r="BM153" s="55"/>
      <c r="BN153" s="21">
        <f t="shared" si="194"/>
        <v>0</v>
      </c>
      <c r="BO153" s="55"/>
      <c r="BP153" s="55"/>
      <c r="BQ153" s="21">
        <f t="shared" si="195"/>
        <v>0</v>
      </c>
      <c r="BR153" s="55"/>
      <c r="BS153" s="21">
        <f t="shared" si="196"/>
        <v>12.927528166666667</v>
      </c>
      <c r="BT153" s="56">
        <v>5.6150000000000002</v>
      </c>
      <c r="BU153" s="56">
        <v>1.81</v>
      </c>
      <c r="BV153" s="21">
        <f t="shared" si="197"/>
        <v>5.081575</v>
      </c>
      <c r="BW153" s="77">
        <f t="shared" si="217"/>
        <v>5.6150000000000002</v>
      </c>
      <c r="BX153" s="55">
        <v>-1.7000000000000001E-2</v>
      </c>
      <c r="BY153" s="21">
        <f t="shared" si="198"/>
        <v>-6.3636666666666675E-2</v>
      </c>
      <c r="BZ153" s="55">
        <v>5.44</v>
      </c>
      <c r="CA153" s="55">
        <v>-0.13700000000000001</v>
      </c>
      <c r="CB153" s="21">
        <f t="shared" si="226"/>
        <v>-0.49685333333333342</v>
      </c>
      <c r="CC153" s="55">
        <v>1.875</v>
      </c>
      <c r="CD153" s="55">
        <v>3.2000000000000001E-2</v>
      </c>
      <c r="CE153" s="21">
        <f t="shared" si="227"/>
        <v>0.04</v>
      </c>
      <c r="CF153" s="21"/>
      <c r="CG153" s="21"/>
      <c r="CH153" s="21">
        <f t="shared" si="218"/>
        <v>0</v>
      </c>
      <c r="CI153" s="25">
        <f t="shared" si="219"/>
        <v>4.5610850000000003</v>
      </c>
      <c r="CJ153" s="54">
        <v>0.33400000000000002</v>
      </c>
      <c r="CK153" s="21">
        <f t="shared" si="220"/>
        <v>1.3861000000000001</v>
      </c>
      <c r="CL153" s="55">
        <v>80</v>
      </c>
      <c r="CM153" s="55"/>
      <c r="CN153" s="60"/>
      <c r="CO153" s="55"/>
      <c r="CP153" s="55"/>
      <c r="CQ153" s="55"/>
      <c r="CR153" s="55"/>
      <c r="CS153" s="55"/>
      <c r="CT153" s="55"/>
      <c r="CU153" s="55"/>
      <c r="CV153" s="55"/>
      <c r="CW153" s="55"/>
      <c r="CX153" s="55"/>
      <c r="CY153" s="21">
        <f t="shared" si="201"/>
        <v>0</v>
      </c>
      <c r="CZ153" s="56"/>
      <c r="DA153" s="56"/>
      <c r="DB153" s="56"/>
      <c r="DC153" s="56"/>
      <c r="DD153" s="61">
        <f t="shared" si="221"/>
        <v>0</v>
      </c>
      <c r="DE153" s="21">
        <f t="shared" si="222"/>
        <v>0</v>
      </c>
      <c r="DF153" s="55"/>
      <c r="DG153" s="55"/>
      <c r="DH153" s="55"/>
      <c r="DI153" s="55"/>
      <c r="DJ153" s="104"/>
      <c r="DK153" s="53"/>
      <c r="DM153" s="58">
        <f t="shared" si="205"/>
        <v>728.09731782941708</v>
      </c>
      <c r="DN153" s="58">
        <f t="shared" si="202"/>
        <v>707.625</v>
      </c>
      <c r="DO153" s="21">
        <f t="shared" si="203"/>
        <v>0.97188244300851356</v>
      </c>
      <c r="DP153" s="62">
        <f t="shared" si="204"/>
        <v>1.0031421730857144</v>
      </c>
      <c r="DQ153" s="7" t="s">
        <v>130</v>
      </c>
      <c r="DR153" s="107">
        <f t="shared" si="206"/>
        <v>0</v>
      </c>
    </row>
    <row r="154" spans="1:122" ht="12.75" customHeight="1" x14ac:dyDescent="0.2">
      <c r="A154" s="53" t="s">
        <v>346</v>
      </c>
      <c r="B154" s="54">
        <v>2</v>
      </c>
      <c r="C154" s="92">
        <f t="shared" si="207"/>
        <v>113.4055247325982</v>
      </c>
      <c r="D154" s="92">
        <f t="shared" si="208"/>
        <v>107.84189107000404</v>
      </c>
      <c r="E154" s="92">
        <f>VLOOKUP(A154,[3]TRTOTAL!$A$7:$D$313,3,FALSE)</f>
        <v>113.4055247325982</v>
      </c>
      <c r="F154" s="92">
        <f>VLOOKUP(A154,[3]TRTOTAL!$A$7:$D$313,4,FALSE)</f>
        <v>107.84189107000404</v>
      </c>
      <c r="G154" s="92">
        <f t="shared" si="209"/>
        <v>0</v>
      </c>
      <c r="H154" s="92">
        <f t="shared" si="210"/>
        <v>0</v>
      </c>
      <c r="I154" s="54">
        <v>5</v>
      </c>
      <c r="J154" s="56">
        <v>4.96</v>
      </c>
      <c r="K154" s="54">
        <v>3.05</v>
      </c>
      <c r="L154" s="57">
        <v>2</v>
      </c>
      <c r="M154" s="57">
        <v>149.6</v>
      </c>
      <c r="N154" s="57"/>
      <c r="O154" s="87" t="s">
        <v>133</v>
      </c>
      <c r="P154" s="24">
        <f t="shared" ref="P154:P191" si="228">marea+areaMast+mssam+mareNoDet</f>
        <v>15.007800000000003</v>
      </c>
      <c r="Q154" s="24">
        <f t="shared" si="176"/>
        <v>7.82</v>
      </c>
      <c r="R154" s="24">
        <f t="shared" ref="R154:R166" si="229">CI154</f>
        <v>4.5610850000000003</v>
      </c>
      <c r="S154" s="87">
        <v>8.3000000000000007</v>
      </c>
      <c r="T154" s="21">
        <f t="shared" ref="T154:T191" si="230">IF(gs_1,gs_1*0.94,VlgNoDetails)</f>
        <v>5.2781000000000002</v>
      </c>
      <c r="U154" s="21"/>
      <c r="V154" s="24">
        <f t="shared" ref="V154:V166" si="231">IF(e_sp,e_sp,(IF(mfoot,MAX(CU154:CX154),IF(mainh1,mainh1,vlm*0.3))))</f>
        <v>2.08</v>
      </c>
      <c r="W154" s="24">
        <f t="shared" ref="W154:W191" si="232">IF(circMast,circMast/2,0.16)+V154</f>
        <v>2.246</v>
      </c>
      <c r="X154" s="24">
        <f t="shared" ref="X154:X191" si="233">msam/e^2</f>
        <v>2.9750723359783184</v>
      </c>
      <c r="Y154" s="25">
        <f t="shared" si="223"/>
        <v>1</v>
      </c>
      <c r="Z154" s="24">
        <f t="shared" si="211"/>
        <v>13.94572493945217</v>
      </c>
      <c r="AA154" s="21">
        <f t="shared" ref="AA154:AA191" si="234">IF(lpg,msag/lpg^2,0)</f>
        <v>1.3922300906565734</v>
      </c>
      <c r="AB154" s="24">
        <f t="shared" si="212"/>
        <v>3.6267194969495553</v>
      </c>
      <c r="AC154" s="24">
        <f t="shared" si="225"/>
        <v>20.250970901798283</v>
      </c>
      <c r="AD154" s="58">
        <f t="shared" ref="AD154:AD191" si="235">IF(wsex,wsex,wsin-6)+crew*(IF(AND(crew=1,msam+msag&gt;=11),75,IF(loa&lt;=4,65,IF(loa&lt;=4.8,70,75))))</f>
        <v>299.60000000000002</v>
      </c>
      <c r="AE154" s="58">
        <f t="shared" ref="AE154:AE191" si="236">IF(wsin,wsin,wsex+6)+crew*(IF(AND(crew=1,msam+msag&gt;=11),75,IF(loa&lt;=4,65,IF(loa&lt;=4.8,70,75))))</f>
        <v>305.60000000000002</v>
      </c>
      <c r="AF154" s="21">
        <f t="shared" si="213"/>
        <v>3.15</v>
      </c>
      <c r="AG154" s="77">
        <f t="shared" si="214"/>
        <v>0</v>
      </c>
      <c r="AH154" s="114">
        <f t="shared" si="224"/>
        <v>1.04</v>
      </c>
      <c r="AI154" s="59">
        <f t="shared" si="215"/>
        <v>113.4055247325982</v>
      </c>
      <c r="AJ154" s="59">
        <f t="shared" si="216"/>
        <v>107.84189107000404</v>
      </c>
      <c r="AK154" s="55">
        <v>7.82</v>
      </c>
      <c r="AL154" s="55">
        <v>2.08</v>
      </c>
      <c r="AM154" s="21">
        <f t="shared" ref="AM154:AM191" si="237">AK154*AL154*0.5</f>
        <v>8.1328000000000014</v>
      </c>
      <c r="AN154" s="54">
        <v>7.82</v>
      </c>
      <c r="AO154" s="55">
        <v>0.06</v>
      </c>
      <c r="AP154" s="21">
        <f t="shared" si="186"/>
        <v>0.31280000000000002</v>
      </c>
      <c r="AQ154" s="55"/>
      <c r="AR154" s="55"/>
      <c r="AS154" s="21">
        <f t="shared" si="187"/>
        <v>0</v>
      </c>
      <c r="AT154" s="54">
        <v>7.92</v>
      </c>
      <c r="AU154" s="54">
        <v>0.92</v>
      </c>
      <c r="AV154" s="21">
        <f t="shared" si="188"/>
        <v>3.6432000000000002</v>
      </c>
      <c r="AW154" s="54">
        <v>1.68</v>
      </c>
      <c r="AX154" s="54">
        <v>0.28000000000000003</v>
      </c>
      <c r="AY154" s="21">
        <f t="shared" si="189"/>
        <v>0.23520000000000002</v>
      </c>
      <c r="AZ154" s="54">
        <v>6.53</v>
      </c>
      <c r="BA154" s="54">
        <v>0.3</v>
      </c>
      <c r="BB154" s="21">
        <f t="shared" si="190"/>
        <v>1.306</v>
      </c>
      <c r="BC154" s="54"/>
      <c r="BD154" s="54"/>
      <c r="BE154" s="21">
        <f t="shared" si="191"/>
        <v>0</v>
      </c>
      <c r="BF154" s="55"/>
      <c r="BG154" s="55"/>
      <c r="BH154" s="21">
        <f t="shared" si="192"/>
        <v>0</v>
      </c>
      <c r="BI154" s="55"/>
      <c r="BJ154" s="55"/>
      <c r="BK154" s="21">
        <f t="shared" si="193"/>
        <v>0</v>
      </c>
      <c r="BL154" s="55"/>
      <c r="BM154" s="55"/>
      <c r="BN154" s="21">
        <f t="shared" si="194"/>
        <v>0</v>
      </c>
      <c r="BO154" s="55"/>
      <c r="BP154" s="55"/>
      <c r="BQ154" s="21">
        <f t="shared" si="195"/>
        <v>0</v>
      </c>
      <c r="BR154" s="55"/>
      <c r="BS154" s="21">
        <f t="shared" ref="BS154:BS193" si="238">AM154+AP154+AS154+AV154+AY154+BB154+BE154+BH154+BK154+BN154+BQ154</f>
        <v>13.630000000000003</v>
      </c>
      <c r="BT154" s="56">
        <v>5.6150000000000002</v>
      </c>
      <c r="BU154" s="56">
        <v>1.81</v>
      </c>
      <c r="BV154" s="21">
        <f t="shared" ref="BV154:BV177" si="239">BT154*BU154*0.5</f>
        <v>5.081575</v>
      </c>
      <c r="BW154" s="77">
        <f t="shared" si="217"/>
        <v>5.6150000000000002</v>
      </c>
      <c r="BX154" s="55">
        <v>-1.7000000000000001E-2</v>
      </c>
      <c r="BY154" s="21">
        <f t="shared" ref="BY154:BY177" si="240">BW154*BX154*2/3</f>
        <v>-6.3636666666666675E-2</v>
      </c>
      <c r="BZ154" s="55">
        <v>5.44</v>
      </c>
      <c r="CA154" s="55">
        <v>-0.13700000000000001</v>
      </c>
      <c r="CB154" s="21">
        <f t="shared" si="226"/>
        <v>-0.49685333333333342</v>
      </c>
      <c r="CC154" s="54">
        <v>1.875</v>
      </c>
      <c r="CD154" s="54">
        <v>3.2000000000000001E-2</v>
      </c>
      <c r="CE154" s="21">
        <f t="shared" si="227"/>
        <v>0.04</v>
      </c>
      <c r="CF154" s="21"/>
      <c r="CG154" s="21"/>
      <c r="CH154" s="21">
        <f t="shared" si="218"/>
        <v>0</v>
      </c>
      <c r="CI154" s="25">
        <f t="shared" si="219"/>
        <v>4.5610850000000003</v>
      </c>
      <c r="CJ154" s="54">
        <v>0.33200000000000002</v>
      </c>
      <c r="CK154" s="21">
        <f t="shared" si="220"/>
        <v>1.3778000000000001</v>
      </c>
      <c r="CL154" s="55">
        <v>476</v>
      </c>
      <c r="CM154" s="55"/>
      <c r="CN154" s="60">
        <v>36495</v>
      </c>
      <c r="CO154" s="55" t="s">
        <v>347</v>
      </c>
      <c r="CP154" s="55"/>
      <c r="CQ154" s="55"/>
      <c r="CR154" s="55"/>
      <c r="CS154" s="55"/>
      <c r="CT154" s="55"/>
      <c r="CU154" s="55"/>
      <c r="CV154" s="55"/>
      <c r="CW154" s="55"/>
      <c r="CX154" s="55"/>
      <c r="CY154" s="21">
        <f t="shared" ref="CY154:CY176" si="241">(CT154+4*CU154+2*CV154+4*CW154+CX154)*AN154/12</f>
        <v>0</v>
      </c>
      <c r="CZ154" s="56"/>
      <c r="DA154" s="56"/>
      <c r="DB154" s="56"/>
      <c r="DC154" s="56"/>
      <c r="DD154" s="61">
        <f t="shared" si="221"/>
        <v>0</v>
      </c>
      <c r="DE154" s="21">
        <f t="shared" si="222"/>
        <v>0</v>
      </c>
      <c r="DF154" s="55"/>
      <c r="DG154" s="55"/>
      <c r="DH154" s="55"/>
      <c r="DI154" s="55"/>
      <c r="DJ154" s="104"/>
      <c r="DK154" s="53"/>
      <c r="DM154" s="58">
        <f t="shared" si="205"/>
        <v>745.28995878106582</v>
      </c>
      <c r="DN154" s="58">
        <f t="shared" ref="DN154:DN191" si="242">IF(wsex,0.5*wsex*width+(rwex-wsex)*width+trapeze*(rwex-wsex)/crew,0.5*(wsin-6)*width+(rwin-wsin)*width+trapeze*(rwin-wsin)/crew)</f>
        <v>835.6400000000001</v>
      </c>
      <c r="DO154" s="21">
        <f t="shared" ref="DO154:DO191" si="243">righting/heeling</f>
        <v>1.1212280403813615</v>
      </c>
      <c r="DP154" s="62">
        <f t="shared" ref="DP154:DP166" si="244">IF((1/DO154)^$DP$5&lt;1,1,(1/DO154)^$DP$5)</f>
        <v>1</v>
      </c>
      <c r="DQ154" s="7">
        <v>0</v>
      </c>
      <c r="DR154" s="107">
        <f t="shared" si="206"/>
        <v>0</v>
      </c>
    </row>
    <row r="155" spans="1:122" ht="12.75" customHeight="1" x14ac:dyDescent="0.2">
      <c r="A155" s="53" t="s">
        <v>348</v>
      </c>
      <c r="B155" s="54">
        <v>2</v>
      </c>
      <c r="C155" s="92">
        <f t="shared" si="207"/>
        <v>110.23503203998227</v>
      </c>
      <c r="D155" s="92">
        <f t="shared" si="208"/>
        <v>105.44504647635343</v>
      </c>
      <c r="E155" s="92">
        <f>VLOOKUP(A155,[3]TRTOTAL!$A$7:$D$313,3,FALSE)</f>
        <v>110.23503203998227</v>
      </c>
      <c r="F155" s="92">
        <f>VLOOKUP(A155,[3]TRTOTAL!$A$7:$D$313,4,FALSE)</f>
        <v>105.44504647635343</v>
      </c>
      <c r="G155" s="92">
        <f t="shared" si="209"/>
        <v>0</v>
      </c>
      <c r="H155" s="92">
        <f t="shared" si="210"/>
        <v>0</v>
      </c>
      <c r="I155" s="54">
        <v>5.57</v>
      </c>
      <c r="J155" s="56">
        <v>5.54</v>
      </c>
      <c r="K155" s="54">
        <v>2.5139999999999998</v>
      </c>
      <c r="L155" s="57">
        <v>2</v>
      </c>
      <c r="M155" s="57">
        <v>185</v>
      </c>
      <c r="N155" s="57"/>
      <c r="O155" s="87" t="s">
        <v>133</v>
      </c>
      <c r="P155" s="24">
        <f t="shared" si="228"/>
        <v>16.905549999999998</v>
      </c>
      <c r="Q155" s="24">
        <f t="shared" si="176"/>
        <v>8.35</v>
      </c>
      <c r="R155" s="24">
        <f t="shared" si="229"/>
        <v>4.6937999999999995</v>
      </c>
      <c r="S155" s="87">
        <v>9</v>
      </c>
      <c r="T155" s="21">
        <f t="shared" si="230"/>
        <v>5.3579999999999997</v>
      </c>
      <c r="U155" s="21"/>
      <c r="V155" s="24">
        <f t="shared" si="231"/>
        <v>2.21</v>
      </c>
      <c r="W155" s="24">
        <f t="shared" si="232"/>
        <v>2.3759999999999999</v>
      </c>
      <c r="X155" s="24">
        <f t="shared" si="233"/>
        <v>2.9945835317257874</v>
      </c>
      <c r="Y155" s="25">
        <f t="shared" si="223"/>
        <v>1</v>
      </c>
      <c r="Z155" s="24">
        <f t="shared" si="211"/>
        <v>15.740011191334544</v>
      </c>
      <c r="AA155" s="21">
        <f t="shared" si="234"/>
        <v>1.7033676876179416</v>
      </c>
      <c r="AB155" s="24">
        <f t="shared" si="212"/>
        <v>3.9650584926590908</v>
      </c>
      <c r="AC155" s="24">
        <f t="shared" si="225"/>
        <v>22.339612079947955</v>
      </c>
      <c r="AD155" s="58">
        <f t="shared" si="235"/>
        <v>335</v>
      </c>
      <c r="AE155" s="58">
        <f t="shared" si="236"/>
        <v>341</v>
      </c>
      <c r="AF155" s="21">
        <f t="shared" si="213"/>
        <v>3.15</v>
      </c>
      <c r="AG155" s="77">
        <f t="shared" si="214"/>
        <v>0</v>
      </c>
      <c r="AH155" s="114">
        <f t="shared" si="224"/>
        <v>1.04</v>
      </c>
      <c r="AI155" s="59">
        <f t="shared" si="215"/>
        <v>108.66531463162286</v>
      </c>
      <c r="AJ155" s="59">
        <f t="shared" si="216"/>
        <v>103.94353718283622</v>
      </c>
      <c r="AK155" s="55">
        <v>8.35</v>
      </c>
      <c r="AL155" s="55">
        <v>2.21</v>
      </c>
      <c r="AM155" s="21">
        <f t="shared" si="237"/>
        <v>9.2267499999999991</v>
      </c>
      <c r="AN155" s="54">
        <v>8.35</v>
      </c>
      <c r="AO155" s="55">
        <v>0.1</v>
      </c>
      <c r="AP155" s="21">
        <f t="shared" si="186"/>
        <v>0.55666666666666664</v>
      </c>
      <c r="AQ155" s="55"/>
      <c r="AR155" s="55"/>
      <c r="AS155" s="21">
        <f t="shared" si="187"/>
        <v>0</v>
      </c>
      <c r="AT155" s="54">
        <v>8.4499999999999993</v>
      </c>
      <c r="AU155" s="54">
        <v>0.91</v>
      </c>
      <c r="AV155" s="21">
        <f t="shared" si="188"/>
        <v>3.8447499999999999</v>
      </c>
      <c r="AW155" s="54">
        <v>1.25</v>
      </c>
      <c r="AX155" s="54">
        <v>7.0000000000000007E-2</v>
      </c>
      <c r="AY155" s="21">
        <f t="shared" si="189"/>
        <v>4.3750000000000004E-2</v>
      </c>
      <c r="AZ155" s="54">
        <v>7.21</v>
      </c>
      <c r="BA155" s="54">
        <v>0.32</v>
      </c>
      <c r="BB155" s="21">
        <f t="shared" si="190"/>
        <v>1.5381333333333334</v>
      </c>
      <c r="BC155" s="54"/>
      <c r="BD155" s="54"/>
      <c r="BE155" s="21">
        <f t="shared" si="191"/>
        <v>0</v>
      </c>
      <c r="BF155" s="55">
        <v>1.55</v>
      </c>
      <c r="BG155" s="55">
        <v>0.26</v>
      </c>
      <c r="BH155" s="21">
        <f t="shared" si="192"/>
        <v>0.20150000000000001</v>
      </c>
      <c r="BI155" s="55"/>
      <c r="BJ155" s="55"/>
      <c r="BK155" s="21">
        <f t="shared" si="193"/>
        <v>0</v>
      </c>
      <c r="BL155" s="55"/>
      <c r="BM155" s="55"/>
      <c r="BN155" s="21">
        <f t="shared" si="194"/>
        <v>0</v>
      </c>
      <c r="BO155" s="55"/>
      <c r="BP155" s="55"/>
      <c r="BQ155" s="21">
        <f t="shared" si="195"/>
        <v>0</v>
      </c>
      <c r="BR155" s="55"/>
      <c r="BS155" s="21">
        <f t="shared" si="238"/>
        <v>15.411549999999997</v>
      </c>
      <c r="BT155" s="56">
        <v>5.7</v>
      </c>
      <c r="BU155" s="56">
        <v>1.66</v>
      </c>
      <c r="BV155" s="21">
        <f t="shared" si="239"/>
        <v>4.7309999999999999</v>
      </c>
      <c r="BW155" s="77">
        <f t="shared" si="217"/>
        <v>5.7</v>
      </c>
      <c r="BX155" s="55">
        <v>0.03</v>
      </c>
      <c r="BY155" s="21">
        <f t="shared" si="240"/>
        <v>0.11399999999999999</v>
      </c>
      <c r="BZ155" s="55">
        <v>5.67</v>
      </c>
      <c r="CA155" s="55">
        <v>-0.04</v>
      </c>
      <c r="CB155" s="21">
        <f t="shared" si="226"/>
        <v>-0.1512</v>
      </c>
      <c r="CC155" s="54"/>
      <c r="CD155" s="54"/>
      <c r="CE155" s="21">
        <f t="shared" si="227"/>
        <v>0</v>
      </c>
      <c r="CF155" s="21"/>
      <c r="CG155" s="21"/>
      <c r="CH155" s="21">
        <f t="shared" si="218"/>
        <v>0</v>
      </c>
      <c r="CI155" s="25">
        <f t="shared" si="219"/>
        <v>4.6937999999999995</v>
      </c>
      <c r="CJ155" s="54">
        <v>0.33200000000000002</v>
      </c>
      <c r="CK155" s="21">
        <f t="shared" si="220"/>
        <v>1.494</v>
      </c>
      <c r="CL155" s="55">
        <v>470</v>
      </c>
      <c r="CM155" s="55"/>
      <c r="CN155" s="60">
        <v>36495</v>
      </c>
      <c r="CO155" s="55" t="s">
        <v>349</v>
      </c>
      <c r="CP155" s="55"/>
      <c r="CQ155" s="55"/>
      <c r="CR155" s="55"/>
      <c r="CS155" s="55"/>
      <c r="CT155" s="55"/>
      <c r="CU155" s="55"/>
      <c r="CV155" s="55"/>
      <c r="CW155" s="55"/>
      <c r="CX155" s="55"/>
      <c r="CY155" s="21">
        <f t="shared" si="241"/>
        <v>0</v>
      </c>
      <c r="CZ155" s="56"/>
      <c r="DA155" s="56"/>
      <c r="DB155" s="56"/>
      <c r="DC155" s="56"/>
      <c r="DD155" s="61">
        <f t="shared" si="221"/>
        <v>0</v>
      </c>
      <c r="DE155" s="21">
        <f t="shared" si="222"/>
        <v>0</v>
      </c>
      <c r="DF155" s="55"/>
      <c r="DG155" s="55"/>
      <c r="DH155" s="55"/>
      <c r="DI155" s="55"/>
      <c r="DJ155" s="104"/>
      <c r="DK155" s="53"/>
      <c r="DM155" s="58">
        <f t="shared" si="205"/>
        <v>865.43637699192539</v>
      </c>
      <c r="DN155" s="58">
        <f t="shared" si="242"/>
        <v>759.64499999999998</v>
      </c>
      <c r="DO155" s="21">
        <f t="shared" si="243"/>
        <v>0.87775949820871413</v>
      </c>
      <c r="DP155" s="62">
        <f t="shared" si="244"/>
        <v>1.0144454319548126</v>
      </c>
      <c r="DQ155" s="7" t="s">
        <v>130</v>
      </c>
      <c r="DR155" s="107">
        <f t="shared" si="206"/>
        <v>0</v>
      </c>
    </row>
    <row r="156" spans="1:122" ht="12.75" customHeight="1" x14ac:dyDescent="0.2">
      <c r="A156" s="53" t="s">
        <v>350</v>
      </c>
      <c r="B156" s="54">
        <v>2</v>
      </c>
      <c r="C156" s="92">
        <f t="shared" si="207"/>
        <v>104.38949479142066</v>
      </c>
      <c r="D156" s="92">
        <f t="shared" si="208"/>
        <v>100.346958941314</v>
      </c>
      <c r="E156" s="92">
        <f>VLOOKUP(A156,[3]TRTOTAL!$A$7:$D$313,3,FALSE)</f>
        <v>104.38949479142066</v>
      </c>
      <c r="F156" s="92">
        <f>VLOOKUP(A156,[3]TRTOTAL!$A$7:$D$313,4,FALSE)</f>
        <v>100.346958941314</v>
      </c>
      <c r="G156" s="92">
        <f t="shared" si="209"/>
        <v>0</v>
      </c>
      <c r="H156" s="92">
        <f t="shared" si="210"/>
        <v>0</v>
      </c>
      <c r="I156" s="54">
        <v>5.57</v>
      </c>
      <c r="J156" s="56">
        <v>5.54</v>
      </c>
      <c r="K156" s="54">
        <v>2.5</v>
      </c>
      <c r="L156" s="57">
        <v>2</v>
      </c>
      <c r="M156" s="57">
        <v>191</v>
      </c>
      <c r="N156" s="57"/>
      <c r="O156" s="87"/>
      <c r="P156" s="24">
        <f t="shared" si="228"/>
        <v>18.160216666666667</v>
      </c>
      <c r="Q156" s="24">
        <f t="shared" si="176"/>
        <v>8.3699999999999992</v>
      </c>
      <c r="R156" s="24">
        <f t="shared" si="229"/>
        <v>5.6920216666666672</v>
      </c>
      <c r="S156" s="87">
        <v>9</v>
      </c>
      <c r="T156" s="21">
        <f t="shared" si="230"/>
        <v>5.7997999999999994</v>
      </c>
      <c r="U156" s="21"/>
      <c r="V156" s="24">
        <f t="shared" si="231"/>
        <v>2.35</v>
      </c>
      <c r="W156" s="24">
        <f t="shared" si="232"/>
        <v>2.5169999999999999</v>
      </c>
      <c r="X156" s="24">
        <f t="shared" si="233"/>
        <v>2.8665174811546352</v>
      </c>
      <c r="Y156" s="25">
        <f t="shared" si="223"/>
        <v>1</v>
      </c>
      <c r="Z156" s="24">
        <f t="shared" si="211"/>
        <v>16.687919910543787</v>
      </c>
      <c r="AA156" s="21">
        <f t="shared" si="234"/>
        <v>1.5015321707494804</v>
      </c>
      <c r="AB156" s="24">
        <f t="shared" si="212"/>
        <v>4.629770181059885</v>
      </c>
      <c r="AC156" s="24">
        <f t="shared" si="225"/>
        <v>23.865819968065889</v>
      </c>
      <c r="AD156" s="58">
        <f t="shared" si="235"/>
        <v>341</v>
      </c>
      <c r="AE156" s="58">
        <f t="shared" si="236"/>
        <v>347</v>
      </c>
      <c r="AF156" s="21">
        <f t="shared" si="213"/>
        <v>3.15</v>
      </c>
      <c r="AG156" s="77">
        <f t="shared" si="214"/>
        <v>0</v>
      </c>
      <c r="AH156" s="114">
        <f t="shared" si="224"/>
        <v>1</v>
      </c>
      <c r="AI156" s="59">
        <f t="shared" si="215"/>
        <v>101.83529965787382</v>
      </c>
      <c r="AJ156" s="59">
        <f t="shared" si="216"/>
        <v>97.891676302900521</v>
      </c>
      <c r="AK156" s="55">
        <v>8.3699999999999992</v>
      </c>
      <c r="AL156" s="55">
        <v>2.35</v>
      </c>
      <c r="AM156" s="21">
        <f t="shared" si="237"/>
        <v>9.8347499999999997</v>
      </c>
      <c r="AN156" s="54">
        <v>8.3699999999999992</v>
      </c>
      <c r="AO156" s="55">
        <v>0.13</v>
      </c>
      <c r="AP156" s="21">
        <f t="shared" si="186"/>
        <v>0.72539999999999993</v>
      </c>
      <c r="AQ156" s="55"/>
      <c r="AR156" s="55"/>
      <c r="AS156" s="21">
        <f t="shared" si="187"/>
        <v>0</v>
      </c>
      <c r="AT156" s="54">
        <v>8.56</v>
      </c>
      <c r="AU156" s="54">
        <v>0.83</v>
      </c>
      <c r="AV156" s="21">
        <f t="shared" si="188"/>
        <v>3.5524</v>
      </c>
      <c r="AW156" s="54">
        <v>4.8</v>
      </c>
      <c r="AX156" s="54">
        <v>0.68300000000000005</v>
      </c>
      <c r="AY156" s="21">
        <f t="shared" si="189"/>
        <v>1.6392</v>
      </c>
      <c r="AZ156" s="54">
        <v>3.92</v>
      </c>
      <c r="BA156" s="54">
        <v>0.05</v>
      </c>
      <c r="BB156" s="21">
        <f t="shared" si="190"/>
        <v>0.13066666666666668</v>
      </c>
      <c r="BC156" s="54">
        <v>4.47</v>
      </c>
      <c r="BD156" s="54">
        <v>0.26</v>
      </c>
      <c r="BE156" s="21">
        <f t="shared" si="191"/>
        <v>0.77479999999999993</v>
      </c>
      <c r="BF156" s="55"/>
      <c r="BG156" s="55"/>
      <c r="BH156" s="21">
        <f t="shared" si="192"/>
        <v>0</v>
      </c>
      <c r="BI156" s="55"/>
      <c r="BJ156" s="55"/>
      <c r="BK156" s="21">
        <f t="shared" si="193"/>
        <v>0</v>
      </c>
      <c r="BL156" s="55"/>
      <c r="BM156" s="55"/>
      <c r="BN156" s="21">
        <f t="shared" si="194"/>
        <v>0</v>
      </c>
      <c r="BO156" s="55"/>
      <c r="BP156" s="55"/>
      <c r="BQ156" s="21">
        <f t="shared" si="195"/>
        <v>0</v>
      </c>
      <c r="BR156" s="55"/>
      <c r="BS156" s="21">
        <f t="shared" si="238"/>
        <v>16.657216666666667</v>
      </c>
      <c r="BT156" s="56">
        <v>6.17</v>
      </c>
      <c r="BU156" s="56">
        <v>1.9470000000000001</v>
      </c>
      <c r="BV156" s="21">
        <f t="shared" si="239"/>
        <v>6.0064950000000001</v>
      </c>
      <c r="BW156" s="77">
        <f t="shared" si="217"/>
        <v>6.17</v>
      </c>
      <c r="BX156" s="55"/>
      <c r="BY156" s="21">
        <f t="shared" si="240"/>
        <v>0</v>
      </c>
      <c r="BZ156" s="55">
        <v>5.59</v>
      </c>
      <c r="CA156" s="55">
        <v>-0.1</v>
      </c>
      <c r="CB156" s="21">
        <f t="shared" si="226"/>
        <v>-0.3726666666666667</v>
      </c>
      <c r="CC156" s="55">
        <v>2.0299999999999998</v>
      </c>
      <c r="CD156" s="55">
        <v>4.2999999999999997E-2</v>
      </c>
      <c r="CE156" s="21">
        <f t="shared" si="227"/>
        <v>5.8193333333333319E-2</v>
      </c>
      <c r="CF156" s="21"/>
      <c r="CG156" s="21"/>
      <c r="CH156" s="21">
        <f t="shared" si="218"/>
        <v>0</v>
      </c>
      <c r="CI156" s="25">
        <f t="shared" si="219"/>
        <v>5.6920216666666672</v>
      </c>
      <c r="CJ156" s="54">
        <v>0.33400000000000002</v>
      </c>
      <c r="CK156" s="21">
        <f t="shared" si="220"/>
        <v>1.5030000000000001</v>
      </c>
      <c r="CL156" s="55" t="s">
        <v>351</v>
      </c>
      <c r="CM156" s="55"/>
      <c r="CN156" s="60"/>
      <c r="CO156" s="55" t="s">
        <v>148</v>
      </c>
      <c r="CP156" s="55">
        <v>4498</v>
      </c>
      <c r="CQ156" s="55">
        <v>4499</v>
      </c>
      <c r="CR156" s="55"/>
      <c r="CS156" s="55"/>
      <c r="CT156" s="55"/>
      <c r="CU156" s="55"/>
      <c r="CV156" s="55"/>
      <c r="CW156" s="55"/>
      <c r="CX156" s="55"/>
      <c r="CY156" s="21">
        <f t="shared" si="241"/>
        <v>0</v>
      </c>
      <c r="CZ156" s="56"/>
      <c r="DA156" s="56"/>
      <c r="DB156" s="56"/>
      <c r="DC156" s="56"/>
      <c r="DD156" s="61">
        <f t="shared" si="221"/>
        <v>0</v>
      </c>
      <c r="DE156" s="21">
        <f t="shared" si="222"/>
        <v>0</v>
      </c>
      <c r="DF156" s="55"/>
      <c r="DG156" s="55"/>
      <c r="DH156" s="55"/>
      <c r="DI156" s="55"/>
      <c r="DJ156" s="104"/>
      <c r="DK156" s="53"/>
      <c r="DM156" s="58">
        <f t="shared" si="205"/>
        <v>956.65493214856576</v>
      </c>
      <c r="DN156" s="58">
        <f t="shared" si="242"/>
        <v>763.75</v>
      </c>
      <c r="DO156" s="21">
        <f t="shared" si="243"/>
        <v>0.79835474039179655</v>
      </c>
      <c r="DP156" s="62">
        <f t="shared" si="244"/>
        <v>1.0250816282971418</v>
      </c>
      <c r="DQ156" s="7" t="s">
        <v>130</v>
      </c>
      <c r="DR156" s="107">
        <f t="shared" si="206"/>
        <v>0</v>
      </c>
    </row>
    <row r="157" spans="1:122" ht="12.75" customHeight="1" x14ac:dyDescent="0.2">
      <c r="A157" s="53" t="s">
        <v>352</v>
      </c>
      <c r="B157" s="54">
        <v>2</v>
      </c>
      <c r="C157" s="92">
        <f t="shared" si="207"/>
        <v>109.22109165973674</v>
      </c>
      <c r="D157" s="92">
        <f t="shared" si="208"/>
        <v>104.4658586561367</v>
      </c>
      <c r="E157" s="92">
        <f>VLOOKUP(A157,[3]TRTOTAL!$A$7:$D$313,3,FALSE)</f>
        <v>109.22109165973674</v>
      </c>
      <c r="F157" s="92">
        <f>VLOOKUP(A157,[3]TRTOTAL!$A$7:$D$313,4,FALSE)</f>
        <v>104.4658586561367</v>
      </c>
      <c r="G157" s="92">
        <f t="shared" si="209"/>
        <v>0</v>
      </c>
      <c r="H157" s="92">
        <f t="shared" si="210"/>
        <v>0</v>
      </c>
      <c r="I157" s="54">
        <v>5.57</v>
      </c>
      <c r="J157" s="56">
        <v>5.54</v>
      </c>
      <c r="K157" s="54">
        <v>3.05</v>
      </c>
      <c r="L157" s="57">
        <v>2</v>
      </c>
      <c r="M157" s="57">
        <v>190.3</v>
      </c>
      <c r="N157" s="57"/>
      <c r="O157" s="87" t="s">
        <v>133</v>
      </c>
      <c r="P157" s="24">
        <f t="shared" si="228"/>
        <v>16.905549999999998</v>
      </c>
      <c r="Q157" s="24">
        <f t="shared" ref="Q157:Q189" si="245">voorvlm1+voorllm2</f>
        <v>8.35</v>
      </c>
      <c r="R157" s="24">
        <f t="shared" si="229"/>
        <v>4.6937999999999995</v>
      </c>
      <c r="S157" s="87">
        <v>9</v>
      </c>
      <c r="T157" s="21">
        <f t="shared" si="230"/>
        <v>5.3579999999999997</v>
      </c>
      <c r="U157" s="21"/>
      <c r="V157" s="24">
        <f t="shared" si="231"/>
        <v>2.21</v>
      </c>
      <c r="W157" s="24">
        <f t="shared" si="232"/>
        <v>2.3759999999999999</v>
      </c>
      <c r="X157" s="24">
        <f t="shared" si="233"/>
        <v>2.9945835317257874</v>
      </c>
      <c r="Y157" s="25">
        <f t="shared" si="223"/>
        <v>1</v>
      </c>
      <c r="Z157" s="24">
        <f t="shared" si="211"/>
        <v>15.740011191334544</v>
      </c>
      <c r="AA157" s="21">
        <f t="shared" si="234"/>
        <v>1.7033676876179416</v>
      </c>
      <c r="AB157" s="24">
        <f t="shared" si="212"/>
        <v>3.9650584926590908</v>
      </c>
      <c r="AC157" s="24">
        <f t="shared" si="225"/>
        <v>22.339612079947955</v>
      </c>
      <c r="AD157" s="58">
        <f t="shared" si="235"/>
        <v>340.3</v>
      </c>
      <c r="AE157" s="58">
        <f t="shared" si="236"/>
        <v>346.3</v>
      </c>
      <c r="AF157" s="21">
        <f t="shared" si="213"/>
        <v>3.15</v>
      </c>
      <c r="AG157" s="77">
        <f t="shared" si="214"/>
        <v>0</v>
      </c>
      <c r="AH157" s="114">
        <f t="shared" si="224"/>
        <v>1.04</v>
      </c>
      <c r="AI157" s="59">
        <f t="shared" si="215"/>
        <v>109.22109165973674</v>
      </c>
      <c r="AJ157" s="59">
        <f t="shared" si="216"/>
        <v>104.4658586561367</v>
      </c>
      <c r="AK157" s="55">
        <v>8.35</v>
      </c>
      <c r="AL157" s="55">
        <v>2.21</v>
      </c>
      <c r="AM157" s="21">
        <f t="shared" si="237"/>
        <v>9.2267499999999991</v>
      </c>
      <c r="AN157" s="54">
        <v>8.35</v>
      </c>
      <c r="AO157" s="55">
        <v>0.1</v>
      </c>
      <c r="AP157" s="21">
        <f t="shared" si="186"/>
        <v>0.55666666666666664</v>
      </c>
      <c r="AQ157" s="55"/>
      <c r="AR157" s="55"/>
      <c r="AS157" s="21">
        <f t="shared" si="187"/>
        <v>0</v>
      </c>
      <c r="AT157" s="54">
        <v>8.4499999999999993</v>
      </c>
      <c r="AU157" s="54">
        <v>0.91</v>
      </c>
      <c r="AV157" s="21">
        <f t="shared" si="188"/>
        <v>3.8447499999999999</v>
      </c>
      <c r="AW157" s="54">
        <v>1.25</v>
      </c>
      <c r="AX157" s="54">
        <v>7.0000000000000007E-2</v>
      </c>
      <c r="AY157" s="21">
        <f t="shared" si="189"/>
        <v>4.3750000000000004E-2</v>
      </c>
      <c r="AZ157" s="54">
        <v>7.21</v>
      </c>
      <c r="BA157" s="54">
        <v>0.32</v>
      </c>
      <c r="BB157" s="21">
        <f t="shared" si="190"/>
        <v>1.5381333333333334</v>
      </c>
      <c r="BC157" s="54"/>
      <c r="BD157" s="54"/>
      <c r="BE157" s="21">
        <f t="shared" si="191"/>
        <v>0</v>
      </c>
      <c r="BF157" s="55">
        <v>1.55</v>
      </c>
      <c r="BG157" s="55">
        <v>0.26</v>
      </c>
      <c r="BH157" s="21">
        <f t="shared" si="192"/>
        <v>0.20150000000000001</v>
      </c>
      <c r="BI157" s="55"/>
      <c r="BJ157" s="55"/>
      <c r="BK157" s="21">
        <f t="shared" si="193"/>
        <v>0</v>
      </c>
      <c r="BL157" s="55"/>
      <c r="BM157" s="55"/>
      <c r="BN157" s="21">
        <f t="shared" si="194"/>
        <v>0</v>
      </c>
      <c r="BO157" s="55"/>
      <c r="BP157" s="55"/>
      <c r="BQ157" s="21">
        <f t="shared" si="195"/>
        <v>0</v>
      </c>
      <c r="BR157" s="55"/>
      <c r="BS157" s="21">
        <f t="shared" si="238"/>
        <v>15.411549999999997</v>
      </c>
      <c r="BT157" s="56">
        <v>5.7</v>
      </c>
      <c r="BU157" s="56">
        <v>1.66</v>
      </c>
      <c r="BV157" s="21">
        <f t="shared" si="239"/>
        <v>4.7309999999999999</v>
      </c>
      <c r="BW157" s="77">
        <f t="shared" si="217"/>
        <v>5.7</v>
      </c>
      <c r="BX157" s="55">
        <v>0.03</v>
      </c>
      <c r="BY157" s="21">
        <f t="shared" si="240"/>
        <v>0.11399999999999999</v>
      </c>
      <c r="BZ157" s="55">
        <v>5.67</v>
      </c>
      <c r="CA157" s="55">
        <v>-0.04</v>
      </c>
      <c r="CB157" s="21">
        <f t="shared" si="226"/>
        <v>-0.1512</v>
      </c>
      <c r="CC157" s="55"/>
      <c r="CD157" s="55"/>
      <c r="CE157" s="21">
        <f t="shared" si="227"/>
        <v>0</v>
      </c>
      <c r="CF157" s="21"/>
      <c r="CG157" s="21"/>
      <c r="CH157" s="21">
        <f t="shared" si="218"/>
        <v>0</v>
      </c>
      <c r="CI157" s="25">
        <f t="shared" si="219"/>
        <v>4.6937999999999995</v>
      </c>
      <c r="CJ157" s="54">
        <v>0.33200000000000002</v>
      </c>
      <c r="CK157" s="21">
        <f t="shared" si="220"/>
        <v>1.494</v>
      </c>
      <c r="CL157" s="55">
        <v>456</v>
      </c>
      <c r="CM157" s="55"/>
      <c r="CN157" s="60">
        <v>36495</v>
      </c>
      <c r="CO157" s="55" t="s">
        <v>349</v>
      </c>
      <c r="CP157" s="55"/>
      <c r="CQ157" s="55"/>
      <c r="CR157" s="55"/>
      <c r="CS157" s="55"/>
      <c r="CT157" s="55"/>
      <c r="CU157" s="55"/>
      <c r="CV157" s="55"/>
      <c r="CW157" s="55"/>
      <c r="CX157" s="55"/>
      <c r="CY157" s="21">
        <f t="shared" si="241"/>
        <v>0</v>
      </c>
      <c r="CZ157" s="56"/>
      <c r="DA157" s="56"/>
      <c r="DB157" s="56"/>
      <c r="DC157" s="56"/>
      <c r="DD157" s="61">
        <f t="shared" si="221"/>
        <v>0</v>
      </c>
      <c r="DE157" s="21">
        <f t="shared" si="222"/>
        <v>0</v>
      </c>
      <c r="DF157" s="55"/>
      <c r="DG157" s="55"/>
      <c r="DH157" s="55"/>
      <c r="DI157" s="55"/>
      <c r="DJ157" s="104"/>
      <c r="DK157" s="53"/>
      <c r="DM157" s="58">
        <f t="shared" si="205"/>
        <v>865.43637699192539</v>
      </c>
      <c r="DN157" s="58">
        <f t="shared" si="242"/>
        <v>897.70749999999998</v>
      </c>
      <c r="DO157" s="21">
        <f t="shared" si="243"/>
        <v>1.037288845102909</v>
      </c>
      <c r="DP157" s="62">
        <f t="shared" si="244"/>
        <v>1</v>
      </c>
      <c r="DQ157" s="7">
        <v>0</v>
      </c>
      <c r="DR157" s="107">
        <f t="shared" si="206"/>
        <v>0</v>
      </c>
    </row>
    <row r="158" spans="1:122" ht="12.75" customHeight="1" x14ac:dyDescent="0.2">
      <c r="A158" s="53" t="s">
        <v>353</v>
      </c>
      <c r="B158" s="54">
        <v>2</v>
      </c>
      <c r="C158" s="92">
        <f t="shared" si="207"/>
        <v>106.62940242783702</v>
      </c>
      <c r="D158" s="92">
        <f t="shared" si="208"/>
        <v>101.96074830593209</v>
      </c>
      <c r="E158" s="92">
        <f>VLOOKUP(A158,[3]TRTOTAL!$A$7:$D$313,3,FALSE)</f>
        <v>106.62940242783702</v>
      </c>
      <c r="F158" s="92">
        <f>VLOOKUP(A158,[3]TRTOTAL!$A$7:$D$313,4,FALSE)</f>
        <v>101.96074830593209</v>
      </c>
      <c r="G158" s="92">
        <f t="shared" si="209"/>
        <v>0</v>
      </c>
      <c r="H158" s="92">
        <f t="shared" si="210"/>
        <v>0</v>
      </c>
      <c r="I158" s="54">
        <v>5.57</v>
      </c>
      <c r="J158" s="56">
        <v>5.54</v>
      </c>
      <c r="K158" s="54">
        <v>3.05</v>
      </c>
      <c r="L158" s="57">
        <v>2</v>
      </c>
      <c r="M158" s="57">
        <v>206.6</v>
      </c>
      <c r="N158" s="57"/>
      <c r="O158" s="87"/>
      <c r="P158" s="24">
        <f t="shared" si="228"/>
        <v>16.905549999999998</v>
      </c>
      <c r="Q158" s="24">
        <f t="shared" si="245"/>
        <v>8.35</v>
      </c>
      <c r="R158" s="24">
        <f t="shared" si="229"/>
        <v>4.6937999999999995</v>
      </c>
      <c r="S158" s="87">
        <v>9</v>
      </c>
      <c r="T158" s="21">
        <f t="shared" si="230"/>
        <v>5.3579999999999997</v>
      </c>
      <c r="U158" s="21"/>
      <c r="V158" s="24">
        <f t="shared" si="231"/>
        <v>2.21</v>
      </c>
      <c r="W158" s="24">
        <f t="shared" si="232"/>
        <v>2.3759999999999999</v>
      </c>
      <c r="X158" s="24">
        <f t="shared" si="233"/>
        <v>2.9945835317257874</v>
      </c>
      <c r="Y158" s="25">
        <f t="shared" si="223"/>
        <v>1</v>
      </c>
      <c r="Z158" s="24">
        <f t="shared" si="211"/>
        <v>15.740011191334544</v>
      </c>
      <c r="AA158" s="21">
        <f t="shared" si="234"/>
        <v>1.7033676876179416</v>
      </c>
      <c r="AB158" s="24">
        <f t="shared" si="212"/>
        <v>3.9650584926590908</v>
      </c>
      <c r="AC158" s="24">
        <f t="shared" si="225"/>
        <v>22.339612079947955</v>
      </c>
      <c r="AD158" s="58">
        <f t="shared" si="235"/>
        <v>356.6</v>
      </c>
      <c r="AE158" s="58">
        <f t="shared" si="236"/>
        <v>362.6</v>
      </c>
      <c r="AF158" s="21">
        <f t="shared" si="213"/>
        <v>3.15</v>
      </c>
      <c r="AG158" s="77">
        <f t="shared" si="214"/>
        <v>0</v>
      </c>
      <c r="AH158" s="114">
        <f t="shared" si="224"/>
        <v>1</v>
      </c>
      <c r="AI158" s="59">
        <f t="shared" si="215"/>
        <v>106.62940242783702</v>
      </c>
      <c r="AJ158" s="59">
        <f t="shared" si="216"/>
        <v>101.96074830593209</v>
      </c>
      <c r="AK158" s="55">
        <v>8.35</v>
      </c>
      <c r="AL158" s="55">
        <v>2.21</v>
      </c>
      <c r="AM158" s="21">
        <f t="shared" si="237"/>
        <v>9.2267499999999991</v>
      </c>
      <c r="AN158" s="54">
        <v>8.35</v>
      </c>
      <c r="AO158" s="55">
        <v>0.1</v>
      </c>
      <c r="AP158" s="21">
        <f t="shared" si="186"/>
        <v>0.55666666666666664</v>
      </c>
      <c r="AQ158" s="55"/>
      <c r="AR158" s="55"/>
      <c r="AS158" s="21">
        <f t="shared" si="187"/>
        <v>0</v>
      </c>
      <c r="AT158" s="54">
        <v>8.4499999999999993</v>
      </c>
      <c r="AU158" s="54">
        <v>0.91</v>
      </c>
      <c r="AV158" s="21">
        <f t="shared" si="188"/>
        <v>3.8447499999999999</v>
      </c>
      <c r="AW158" s="54">
        <v>1.25</v>
      </c>
      <c r="AX158" s="54">
        <v>7.0000000000000007E-2</v>
      </c>
      <c r="AY158" s="21">
        <f t="shared" si="189"/>
        <v>4.3750000000000004E-2</v>
      </c>
      <c r="AZ158" s="54">
        <v>7.21</v>
      </c>
      <c r="BA158" s="54">
        <v>0.32</v>
      </c>
      <c r="BB158" s="21">
        <f t="shared" si="190"/>
        <v>1.5381333333333334</v>
      </c>
      <c r="BC158" s="54"/>
      <c r="BD158" s="54"/>
      <c r="BE158" s="21">
        <f t="shared" si="191"/>
        <v>0</v>
      </c>
      <c r="BF158" s="55">
        <v>1.55</v>
      </c>
      <c r="BG158" s="55">
        <v>0.26</v>
      </c>
      <c r="BH158" s="21">
        <f t="shared" si="192"/>
        <v>0.20150000000000001</v>
      </c>
      <c r="BI158" s="55"/>
      <c r="BJ158" s="55"/>
      <c r="BK158" s="21">
        <f t="shared" si="193"/>
        <v>0</v>
      </c>
      <c r="BL158" s="55"/>
      <c r="BM158" s="55"/>
      <c r="BN158" s="21">
        <f t="shared" si="194"/>
        <v>0</v>
      </c>
      <c r="BO158" s="55"/>
      <c r="BP158" s="55"/>
      <c r="BQ158" s="21">
        <f t="shared" si="195"/>
        <v>0</v>
      </c>
      <c r="BR158" s="55"/>
      <c r="BS158" s="21">
        <f t="shared" si="238"/>
        <v>15.411549999999997</v>
      </c>
      <c r="BT158" s="56">
        <v>5.7</v>
      </c>
      <c r="BU158" s="56">
        <v>1.66</v>
      </c>
      <c r="BV158" s="21">
        <f t="shared" si="239"/>
        <v>4.7309999999999999</v>
      </c>
      <c r="BW158" s="77">
        <f t="shared" si="217"/>
        <v>5.7</v>
      </c>
      <c r="BX158" s="55">
        <v>0.03</v>
      </c>
      <c r="BY158" s="21">
        <f t="shared" si="240"/>
        <v>0.11399999999999999</v>
      </c>
      <c r="BZ158" s="55">
        <v>5.67</v>
      </c>
      <c r="CA158" s="55">
        <v>-0.04</v>
      </c>
      <c r="CB158" s="21">
        <f t="shared" si="226"/>
        <v>-0.1512</v>
      </c>
      <c r="CC158" s="54"/>
      <c r="CD158" s="54"/>
      <c r="CE158" s="21">
        <f t="shared" si="227"/>
        <v>0</v>
      </c>
      <c r="CF158" s="21"/>
      <c r="CG158" s="21"/>
      <c r="CH158" s="21">
        <f t="shared" si="218"/>
        <v>0</v>
      </c>
      <c r="CI158" s="25">
        <f t="shared" si="219"/>
        <v>4.6937999999999995</v>
      </c>
      <c r="CJ158" s="54">
        <v>0.33200000000000002</v>
      </c>
      <c r="CK158" s="21">
        <f t="shared" si="220"/>
        <v>1.494</v>
      </c>
      <c r="CL158" s="55">
        <v>426</v>
      </c>
      <c r="CM158" s="55"/>
      <c r="CN158" s="60">
        <v>36495</v>
      </c>
      <c r="CO158" s="55" t="s">
        <v>349</v>
      </c>
      <c r="CP158" s="55"/>
      <c r="CQ158" s="55"/>
      <c r="CR158" s="55"/>
      <c r="CS158" s="55"/>
      <c r="CT158" s="55"/>
      <c r="CU158" s="55"/>
      <c r="CV158" s="55"/>
      <c r="CW158" s="55"/>
      <c r="CX158" s="55"/>
      <c r="CY158" s="21">
        <f t="shared" si="241"/>
        <v>0</v>
      </c>
      <c r="CZ158" s="56"/>
      <c r="DA158" s="56"/>
      <c r="DB158" s="56"/>
      <c r="DC158" s="56"/>
      <c r="DD158" s="61">
        <f t="shared" si="221"/>
        <v>0</v>
      </c>
      <c r="DE158" s="21">
        <f t="shared" si="222"/>
        <v>0</v>
      </c>
      <c r="DF158" s="55"/>
      <c r="DG158" s="55"/>
      <c r="DH158" s="55"/>
      <c r="DI158" s="55"/>
      <c r="DJ158" s="104"/>
      <c r="DK158" s="53"/>
      <c r="DM158" s="58">
        <f t="shared" si="205"/>
        <v>865.43637699192539</v>
      </c>
      <c r="DN158" s="58">
        <f t="shared" si="242"/>
        <v>922.56500000000005</v>
      </c>
      <c r="DO158" s="21">
        <f t="shared" si="243"/>
        <v>1.0660113493341263</v>
      </c>
      <c r="DP158" s="62">
        <f t="shared" si="244"/>
        <v>1</v>
      </c>
      <c r="DQ158" s="7">
        <v>0</v>
      </c>
      <c r="DR158" s="107">
        <f t="shared" si="206"/>
        <v>0</v>
      </c>
    </row>
    <row r="159" spans="1:122" ht="12.75" customHeight="1" x14ac:dyDescent="0.2">
      <c r="A159" s="53" t="s">
        <v>354</v>
      </c>
      <c r="B159" s="54">
        <v>2</v>
      </c>
      <c r="C159" s="92">
        <f t="shared" si="207"/>
        <v>99.951747194290235</v>
      </c>
      <c r="D159" s="92">
        <f t="shared" si="208"/>
        <v>95.661651509600105</v>
      </c>
      <c r="E159" s="92">
        <f>VLOOKUP(A159,[3]TRTOTAL!$A$7:$D$313,3,FALSE)</f>
        <v>99.951747194290235</v>
      </c>
      <c r="F159" s="92">
        <f>VLOOKUP(A159,[3]TRTOTAL!$A$7:$D$313,4,FALSE)</f>
        <v>95.661651509600105</v>
      </c>
      <c r="G159" s="92">
        <f t="shared" si="209"/>
        <v>0</v>
      </c>
      <c r="H159" s="92">
        <f t="shared" si="210"/>
        <v>0</v>
      </c>
      <c r="I159" s="54">
        <v>6.03</v>
      </c>
      <c r="J159" s="56">
        <v>6</v>
      </c>
      <c r="K159" s="54">
        <v>3.05</v>
      </c>
      <c r="L159" s="57">
        <v>2</v>
      </c>
      <c r="M159" s="57">
        <v>217</v>
      </c>
      <c r="N159" s="57"/>
      <c r="O159" s="87"/>
      <c r="P159" s="24">
        <f t="shared" si="228"/>
        <v>19.95354866666667</v>
      </c>
      <c r="Q159" s="24">
        <f t="shared" si="245"/>
        <v>8.75</v>
      </c>
      <c r="R159" s="24">
        <f t="shared" si="229"/>
        <v>6.8519133333333331</v>
      </c>
      <c r="S159" s="87">
        <v>9.1999999999999993</v>
      </c>
      <c r="T159" s="21">
        <f t="shared" si="230"/>
        <v>5.9727600000000001</v>
      </c>
      <c r="U159" s="21"/>
      <c r="V159" s="24">
        <f t="shared" si="231"/>
        <v>2.56</v>
      </c>
      <c r="W159" s="24">
        <f t="shared" si="232"/>
        <v>2.7269999999999999</v>
      </c>
      <c r="X159" s="24">
        <f t="shared" si="233"/>
        <v>2.6831803744282676</v>
      </c>
      <c r="Y159" s="25">
        <f t="shared" si="223"/>
        <v>1</v>
      </c>
      <c r="Z159" s="24">
        <f t="shared" si="211"/>
        <v>17.975869556036418</v>
      </c>
      <c r="AA159" s="21">
        <f t="shared" si="234"/>
        <v>1.3273798084870727</v>
      </c>
      <c r="AB159" s="24">
        <f t="shared" si="212"/>
        <v>5.3708487182371583</v>
      </c>
      <c r="AC159" s="24">
        <f t="shared" si="225"/>
        <v>26.398507940902746</v>
      </c>
      <c r="AD159" s="58">
        <f t="shared" si="235"/>
        <v>367</v>
      </c>
      <c r="AE159" s="58">
        <f t="shared" si="236"/>
        <v>373</v>
      </c>
      <c r="AF159" s="21">
        <f t="shared" si="213"/>
        <v>3.75</v>
      </c>
      <c r="AG159" s="77">
        <f t="shared" si="214"/>
        <v>0</v>
      </c>
      <c r="AH159" s="114">
        <f t="shared" si="224"/>
        <v>1</v>
      </c>
      <c r="AI159" s="59">
        <f t="shared" si="215"/>
        <v>98.193540263584595</v>
      </c>
      <c r="AJ159" s="59">
        <f t="shared" si="216"/>
        <v>93.978909752620254</v>
      </c>
      <c r="AK159" s="55">
        <v>8.75</v>
      </c>
      <c r="AL159" s="55">
        <v>2.56</v>
      </c>
      <c r="AM159" s="21">
        <f t="shared" si="237"/>
        <v>11.200000000000001</v>
      </c>
      <c r="AN159" s="54">
        <v>8.75</v>
      </c>
      <c r="AO159" s="55">
        <v>0.14000000000000001</v>
      </c>
      <c r="AP159" s="21">
        <f t="shared" si="186"/>
        <v>0.81666666666666676</v>
      </c>
      <c r="AQ159" s="55"/>
      <c r="AR159" s="55"/>
      <c r="AS159" s="21">
        <f t="shared" si="187"/>
        <v>0</v>
      </c>
      <c r="AT159" s="54">
        <v>8.9049999999999994</v>
      </c>
      <c r="AU159" s="54">
        <v>1.105</v>
      </c>
      <c r="AV159" s="21">
        <f t="shared" si="188"/>
        <v>4.9200124999999995</v>
      </c>
      <c r="AW159" s="54">
        <v>3.5419999999999998</v>
      </c>
      <c r="AX159" s="54">
        <v>0.29199999999999998</v>
      </c>
      <c r="AY159" s="21">
        <f t="shared" si="189"/>
        <v>0.51713199999999993</v>
      </c>
      <c r="AZ159" s="54">
        <v>5.6550000000000002</v>
      </c>
      <c r="BA159" s="54">
        <v>0.182</v>
      </c>
      <c r="BB159" s="21">
        <f t="shared" si="190"/>
        <v>0.68613999999999997</v>
      </c>
      <c r="BC159" s="54"/>
      <c r="BD159" s="54"/>
      <c r="BE159" s="21">
        <f t="shared" si="191"/>
        <v>0</v>
      </c>
      <c r="BF159" s="55">
        <v>2.4649999999999999</v>
      </c>
      <c r="BG159" s="55">
        <v>9.5000000000000001E-2</v>
      </c>
      <c r="BH159" s="21">
        <f t="shared" si="192"/>
        <v>0.1170875</v>
      </c>
      <c r="BI159" s="55"/>
      <c r="BJ159" s="55"/>
      <c r="BK159" s="21">
        <f t="shared" si="193"/>
        <v>0</v>
      </c>
      <c r="BL159" s="55">
        <v>2.3719999999999999</v>
      </c>
      <c r="BM159" s="55">
        <v>0.13500000000000001</v>
      </c>
      <c r="BN159" s="21">
        <f t="shared" si="194"/>
        <v>0.16011</v>
      </c>
      <c r="BO159" s="55"/>
      <c r="BP159" s="55"/>
      <c r="BQ159" s="21">
        <f t="shared" si="195"/>
        <v>0</v>
      </c>
      <c r="BR159" s="55"/>
      <c r="BS159" s="21">
        <f t="shared" si="238"/>
        <v>18.417148666666669</v>
      </c>
      <c r="BT159" s="56">
        <v>6.3540000000000001</v>
      </c>
      <c r="BU159" s="56">
        <v>2.2719999999999998</v>
      </c>
      <c r="BV159" s="21">
        <f t="shared" si="239"/>
        <v>7.2181439999999997</v>
      </c>
      <c r="BW159" s="77">
        <f t="shared" si="217"/>
        <v>6.3540000000000001</v>
      </c>
      <c r="BX159" s="55">
        <v>-2.9000000000000001E-2</v>
      </c>
      <c r="BY159" s="21">
        <f t="shared" si="240"/>
        <v>-0.12284400000000001</v>
      </c>
      <c r="BZ159" s="55">
        <v>6.0019999999999998</v>
      </c>
      <c r="CA159" s="55">
        <v>-7.3999999999999996E-2</v>
      </c>
      <c r="CB159" s="21">
        <f t="shared" si="226"/>
        <v>-0.29609866666666668</v>
      </c>
      <c r="CC159" s="55">
        <v>2.3959999999999999</v>
      </c>
      <c r="CD159" s="55">
        <v>3.3000000000000002E-2</v>
      </c>
      <c r="CE159" s="21">
        <f t="shared" si="227"/>
        <v>5.2712000000000002E-2</v>
      </c>
      <c r="CF159" s="21"/>
      <c r="CG159" s="21"/>
      <c r="CH159" s="21">
        <f t="shared" si="218"/>
        <v>0</v>
      </c>
      <c r="CI159" s="25">
        <f t="shared" si="219"/>
        <v>6.8519133333333331</v>
      </c>
      <c r="CJ159" s="54">
        <v>0.33400000000000002</v>
      </c>
      <c r="CK159" s="21">
        <f t="shared" si="220"/>
        <v>1.5364</v>
      </c>
      <c r="CL159" s="55">
        <v>168</v>
      </c>
      <c r="CM159" s="55"/>
      <c r="CN159" s="60"/>
      <c r="CO159" s="55"/>
      <c r="CP159" s="55"/>
      <c r="CQ159" s="55"/>
      <c r="CR159" s="55"/>
      <c r="CS159" s="55"/>
      <c r="CT159" s="55"/>
      <c r="CU159" s="55"/>
      <c r="CV159" s="55"/>
      <c r="CW159" s="55"/>
      <c r="CX159" s="55"/>
      <c r="CY159" s="21">
        <f t="shared" si="241"/>
        <v>0</v>
      </c>
      <c r="CZ159" s="56"/>
      <c r="DA159" s="56"/>
      <c r="DB159" s="56"/>
      <c r="DC159" s="56"/>
      <c r="DD159" s="61">
        <f t="shared" si="221"/>
        <v>0</v>
      </c>
      <c r="DE159" s="21">
        <f t="shared" si="222"/>
        <v>0</v>
      </c>
      <c r="DF159" s="55"/>
      <c r="DG159" s="55"/>
      <c r="DH159" s="55"/>
      <c r="DI159" s="55"/>
      <c r="DJ159" s="104"/>
      <c r="DK159" s="53"/>
      <c r="DM159" s="58">
        <f t="shared" si="205"/>
        <v>1102.7256957580337</v>
      </c>
      <c r="DN159" s="58">
        <f t="shared" si="242"/>
        <v>938.42499999999995</v>
      </c>
      <c r="DO159" s="21">
        <f t="shared" si="243"/>
        <v>0.85100492680086648</v>
      </c>
      <c r="DP159" s="62">
        <f t="shared" si="244"/>
        <v>1.0179055254142586</v>
      </c>
      <c r="DQ159" s="7">
        <v>0</v>
      </c>
      <c r="DR159" s="107">
        <f t="shared" si="206"/>
        <v>0</v>
      </c>
    </row>
    <row r="160" spans="1:122" x14ac:dyDescent="0.2">
      <c r="A160" s="53" t="s">
        <v>559</v>
      </c>
      <c r="B160" s="54">
        <v>2</v>
      </c>
      <c r="C160" s="92">
        <f t="shared" si="207"/>
        <v>113.79101037760746</v>
      </c>
      <c r="D160" s="92">
        <f t="shared" si="208"/>
        <v>108.98890903377912</v>
      </c>
      <c r="E160" s="92">
        <f>VLOOKUP(A160,[3]TRTOTAL!$A$7:$D$313,3,FALSE)</f>
        <v>113.29529702577952</v>
      </c>
      <c r="F160" s="92">
        <f>VLOOKUP(A160,[3]TRTOTAL!$A$7:$D$313,4,FALSE)</f>
        <v>108.5141153112353</v>
      </c>
      <c r="G160" s="92">
        <f t="shared" si="209"/>
        <v>0.49571335182794485</v>
      </c>
      <c r="H160" s="92">
        <f t="shared" si="210"/>
        <v>0.47479372254382213</v>
      </c>
      <c r="I160" s="54">
        <v>4.7</v>
      </c>
      <c r="J160" s="56">
        <v>4.7</v>
      </c>
      <c r="K160" s="54">
        <v>2.34</v>
      </c>
      <c r="L160" s="57">
        <v>2</v>
      </c>
      <c r="M160" s="57">
        <v>0</v>
      </c>
      <c r="N160" s="57">
        <v>150</v>
      </c>
      <c r="O160" s="21" t="s">
        <v>602</v>
      </c>
      <c r="P160" s="24">
        <f>marea+areaMast+mssam+mareNoDet</f>
        <v>13.314960000000001</v>
      </c>
      <c r="Q160" s="24">
        <f t="shared" si="245"/>
        <v>7.67</v>
      </c>
      <c r="R160" s="24">
        <f t="shared" si="229"/>
        <v>3.2838333333333338</v>
      </c>
      <c r="S160" s="7">
        <v>8.1</v>
      </c>
      <c r="T160" s="21">
        <f>IF(gs_1,gs_1*0.94,VlgNoDetails)</f>
        <v>4.7751999999999999</v>
      </c>
      <c r="V160" s="24">
        <f t="shared" si="231"/>
        <v>1.9650000000000001</v>
      </c>
      <c r="W160" s="24">
        <f>IF(circMast,circMast/2,0.16)+V160</f>
        <v>2.1350000000000002</v>
      </c>
      <c r="X160" s="24">
        <f>msam/e^2</f>
        <v>2.921084413340719</v>
      </c>
      <c r="Y160" s="25">
        <f t="shared" si="223"/>
        <v>1</v>
      </c>
      <c r="Z160" s="24">
        <f>0.67*X160^0.3*msam*Y160</f>
        <v>12.304894684680228</v>
      </c>
      <c r="AA160" s="21">
        <f>IF(lpg,msag/lpg^2,0)</f>
        <v>1.8846610039791858</v>
      </c>
      <c r="AB160" s="24">
        <f>IF(AA160,0.72*AA160^0.3*msag,IF(msag,0.9*msag,0))</f>
        <v>2.8594570438764286</v>
      </c>
      <c r="AC160" s="24">
        <f>rsam+rsag+IF(rsascr,rsascr-jibred*rsag,rsas-jibred*rsag)</f>
        <v>17.17968481285272</v>
      </c>
      <c r="AD160" s="58">
        <f>IF(wsex,wsex,wsin-6)+crew*(IF(AND(crew=1,msam+msag&gt;=11),75,IF(loa&lt;=4,65,IF(loa&lt;=4.8,70,75))))</f>
        <v>284</v>
      </c>
      <c r="AE160" s="58">
        <f>IF(wsin,wsin,wsex+6)+crew*(IF(AND(crew=1,msam+msag&gt;=11),75,IF(loa&lt;=4,65,IF(loa&lt;=4.8,70,75))))</f>
        <v>290</v>
      </c>
      <c r="AF160" s="21">
        <f>IF(sas,((sas)*0.15),IF(loa&lt;=4.87,IF(crew=1,14*0.15,17*0.15),IF(loa&lt;=5.8,IF(crew=1,17*0.15,21*0.15),IF(loa&lt;=6.71,IF(crew=1,20*0.15,25*0.15),0))))</f>
        <v>2.3870624999999999</v>
      </c>
      <c r="AG160" s="77">
        <f>IF(AND(ars&lt;0.75*(AND(ars&gt;0)),(sas/msam&gt;0.75)),(sas*(12/ars^1.1)*0.01),0)</f>
        <v>0</v>
      </c>
      <c r="AH160" s="114">
        <f t="shared" si="224"/>
        <v>0.98499999999999999</v>
      </c>
      <c r="AI160" s="59">
        <f>100/(1.15*rl^0.3*(rsam+rsag)^0.4/rwex^0.325)*corcb</f>
        <v>113.79101037760746</v>
      </c>
      <c r="AJ160" s="59">
        <f>100/(1.15*rl^0.3*rsa^0.4/rwin^0.325)*corcb</f>
        <v>108.98890903377912</v>
      </c>
      <c r="AK160" s="7">
        <v>7.67</v>
      </c>
      <c r="AL160" s="7">
        <v>1.9650000000000001</v>
      </c>
      <c r="AM160" s="21">
        <f>AK160*AL160*0.5</f>
        <v>7.5357750000000001</v>
      </c>
      <c r="AN160" s="7">
        <v>7.67</v>
      </c>
      <c r="AO160" s="7">
        <v>0.11</v>
      </c>
      <c r="AP160" s="21">
        <f>AN160*AO160*2/3</f>
        <v>0.56246666666666667</v>
      </c>
      <c r="AQ160" s="7">
        <v>1.98</v>
      </c>
      <c r="AR160" s="7">
        <v>0</v>
      </c>
      <c r="AS160" s="21">
        <f>AQ160*AR160*2/3</f>
        <v>0</v>
      </c>
      <c r="AT160" s="7">
        <v>7.47</v>
      </c>
      <c r="AU160" s="7">
        <v>0.59</v>
      </c>
      <c r="AV160" s="21">
        <f>AT160*AU160*0.5</f>
        <v>2.2036499999999997</v>
      </c>
      <c r="AW160" s="7">
        <v>3.65</v>
      </c>
      <c r="AX160" s="7">
        <v>0.49</v>
      </c>
      <c r="AY160" s="21">
        <f>AW160*AX160*0.5</f>
        <v>0.89424999999999999</v>
      </c>
      <c r="AZ160" s="7">
        <v>3.92</v>
      </c>
      <c r="BA160" s="7">
        <v>3.5000000000000003E-2</v>
      </c>
      <c r="BB160" s="21">
        <f>AZ160*BA160*2/3</f>
        <v>9.1466666666666682E-2</v>
      </c>
      <c r="BC160" s="7">
        <v>1.89</v>
      </c>
      <c r="BD160" s="7">
        <v>1.6E-2</v>
      </c>
      <c r="BE160" s="21">
        <f>BC160*BD160*2/3</f>
        <v>2.0160000000000001E-2</v>
      </c>
      <c r="BF160" s="7">
        <v>1.89</v>
      </c>
      <c r="BG160" s="7">
        <v>0.64500000000000002</v>
      </c>
      <c r="BH160" s="21">
        <f>BF160*BG160*0.5</f>
        <v>0.60952499999999998</v>
      </c>
      <c r="BI160" s="7">
        <v>1.55</v>
      </c>
      <c r="BJ160" s="7">
        <v>0.02</v>
      </c>
      <c r="BK160" s="21">
        <f>BI160*BJ160*2/3</f>
        <v>2.066666666666667E-2</v>
      </c>
      <c r="BN160" s="21">
        <f>BL160*BM160*0.5</f>
        <v>0</v>
      </c>
      <c r="BQ160" s="21">
        <f>BO160*BP160*0.5</f>
        <v>0</v>
      </c>
      <c r="BS160" s="21">
        <f>AM160+AP160+AS160+AV160+AY160+BB160+BE160+BH160+BK160+BN160+BQ160</f>
        <v>11.93796</v>
      </c>
      <c r="BT160" s="4">
        <v>5.08</v>
      </c>
      <c r="BU160" s="4">
        <v>1.32</v>
      </c>
      <c r="BV160" s="21">
        <f>BT160*BU160*0.5</f>
        <v>3.3528000000000002</v>
      </c>
      <c r="BW160" s="77">
        <f>BT160-CF160</f>
        <v>5.08</v>
      </c>
      <c r="BX160" s="7">
        <v>-5.0000000000000001E-3</v>
      </c>
      <c r="BY160" s="21">
        <f>BW160*BX160*2/3</f>
        <v>-1.6933333333333335E-2</v>
      </c>
      <c r="BZ160" s="7">
        <v>4.79</v>
      </c>
      <c r="CA160" s="7">
        <v>-2.5000000000000001E-2</v>
      </c>
      <c r="CB160" s="21">
        <f>BZ160*CA160*2/3</f>
        <v>-7.9833333333333339E-2</v>
      </c>
      <c r="CC160" s="7">
        <v>1.39</v>
      </c>
      <c r="CD160" s="7">
        <v>0.03</v>
      </c>
      <c r="CE160" s="21">
        <f>CC160*CD160*2/3</f>
        <v>2.7799999999999995E-2</v>
      </c>
      <c r="CH160" s="21">
        <f>CF160*CG160*0.5</f>
        <v>0</v>
      </c>
      <c r="CI160" s="25">
        <f>BV160+BY160+CB160+CE160+CH160+DG160</f>
        <v>3.2838333333333338</v>
      </c>
      <c r="CJ160" s="7">
        <v>0.34</v>
      </c>
      <c r="CK160" s="21">
        <f>MastLength*circMast*0.5</f>
        <v>1.377</v>
      </c>
      <c r="CL160" s="11">
        <v>0</v>
      </c>
      <c r="CM160" s="11" t="s">
        <v>560</v>
      </c>
      <c r="CN160" s="12">
        <v>43627</v>
      </c>
      <c r="CO160" s="11" t="s">
        <v>385</v>
      </c>
      <c r="CP160" s="11">
        <v>0</v>
      </c>
      <c r="CQ160" s="11">
        <v>0</v>
      </c>
      <c r="CR160" s="11">
        <v>0</v>
      </c>
      <c r="CS160" s="11">
        <v>0</v>
      </c>
      <c r="CY160" s="21">
        <f>(CT160+4*CU160+2*CV160+4*CW160+CX160)*AN160/12</f>
        <v>0</v>
      </c>
      <c r="CZ160" s="13">
        <v>3.29</v>
      </c>
      <c r="DA160" s="13">
        <v>7.62</v>
      </c>
      <c r="DB160" s="13">
        <v>6.88</v>
      </c>
      <c r="DC160" s="13">
        <v>2.4700000000000002</v>
      </c>
      <c r="DD160" s="61">
        <f>IF(CZ160,DC160/CZ160,smg_sf_no_details)</f>
        <v>0.75075987841945291</v>
      </c>
      <c r="DE160" s="21">
        <f>IF(CZ160,CZ160*(DA160+DB160)/4+(DC160-CZ160/2)*(DA160+DB160)/3,sas_no_details)</f>
        <v>15.91375</v>
      </c>
      <c r="DF160" s="11">
        <v>0</v>
      </c>
      <c r="DG160" s="11">
        <v>0</v>
      </c>
      <c r="DI160" s="11">
        <v>0</v>
      </c>
      <c r="DK160" s="14">
        <v>0</v>
      </c>
      <c r="DM160" s="58">
        <f t="shared" si="205"/>
        <v>627.50130114484728</v>
      </c>
      <c r="DN160" s="58">
        <f>IF(wsex,0.5*wsex*width+(rwex-wsex)*width+trapeze*(rwex-wsex)/crew,0.5*(wsin-6)*width+(rwin-wsin)*width+trapeze*(rwin-wsin)/crew)</f>
        <v>636.07999999999993</v>
      </c>
      <c r="DO160" s="21">
        <f>righting/heeling</f>
        <v>1.0136712048875456</v>
      </c>
      <c r="DP160" s="62">
        <f t="shared" si="244"/>
        <v>1</v>
      </c>
      <c r="DR160" s="107">
        <f t="shared" si="206"/>
        <v>0</v>
      </c>
    </row>
    <row r="161" spans="1:244" x14ac:dyDescent="0.2">
      <c r="A161" s="53" t="s">
        <v>562</v>
      </c>
      <c r="B161" s="54">
        <v>1</v>
      </c>
      <c r="C161" s="92">
        <f t="shared" si="207"/>
        <v>113.6658808502834</v>
      </c>
      <c r="D161" s="92">
        <f t="shared" si="208"/>
        <v>106.59155070220316</v>
      </c>
      <c r="E161" s="92">
        <f>VLOOKUP(A161,[3]TRTOTAL!$A$7:$D$313,3,FALSE)</f>
        <v>114.79074064839227</v>
      </c>
      <c r="F161" s="92">
        <f>VLOOKUP(A161,[3]TRTOTAL!$A$7:$D$313,4,FALSE)</f>
        <v>107.64640154491929</v>
      </c>
      <c r="G161" s="92">
        <f t="shared" si="209"/>
        <v>-1.1248597981088722</v>
      </c>
      <c r="H161" s="92">
        <f t="shared" si="210"/>
        <v>-1.054850842716121</v>
      </c>
      <c r="I161" s="54">
        <v>4.7</v>
      </c>
      <c r="J161" s="56">
        <v>4.7</v>
      </c>
      <c r="K161" s="54">
        <v>2.34</v>
      </c>
      <c r="L161" s="57">
        <v>1</v>
      </c>
      <c r="M161" s="57">
        <v>0</v>
      </c>
      <c r="N161" s="57">
        <v>156</v>
      </c>
      <c r="O161" s="87" t="s">
        <v>595</v>
      </c>
      <c r="P161" s="24">
        <f t="shared" si="228"/>
        <v>13.314960000000001</v>
      </c>
      <c r="Q161" s="24">
        <f t="shared" si="245"/>
        <v>7.67</v>
      </c>
      <c r="R161" s="24">
        <f t="shared" si="229"/>
        <v>0</v>
      </c>
      <c r="S161" s="7">
        <v>8.1</v>
      </c>
      <c r="T161" s="21">
        <f t="shared" si="230"/>
        <v>0</v>
      </c>
      <c r="V161" s="24">
        <f t="shared" si="231"/>
        <v>1.9650000000000001</v>
      </c>
      <c r="W161" s="24">
        <f t="shared" si="232"/>
        <v>2.1350000000000002</v>
      </c>
      <c r="X161" s="24">
        <f t="shared" si="233"/>
        <v>2.921084413340719</v>
      </c>
      <c r="Y161" s="25">
        <f t="shared" si="223"/>
        <v>1</v>
      </c>
      <c r="Z161" s="24">
        <f t="shared" si="211"/>
        <v>12.304894684680228</v>
      </c>
      <c r="AA161" s="21">
        <f t="shared" si="234"/>
        <v>0</v>
      </c>
      <c r="AB161" s="24">
        <f t="shared" si="212"/>
        <v>0</v>
      </c>
      <c r="AC161" s="24">
        <f t="shared" si="225"/>
        <v>15.133386598838936</v>
      </c>
      <c r="AD161" s="58">
        <f t="shared" si="235"/>
        <v>225</v>
      </c>
      <c r="AE161" s="58">
        <f t="shared" si="236"/>
        <v>231</v>
      </c>
      <c r="AF161" s="21">
        <f t="shared" si="213"/>
        <v>2.2890599999999997</v>
      </c>
      <c r="AG161" s="77">
        <f t="shared" si="214"/>
        <v>2.828491914158707</v>
      </c>
      <c r="AH161" s="114">
        <f t="shared" si="224"/>
        <v>0.95</v>
      </c>
      <c r="AI161" s="59">
        <f t="shared" si="215"/>
        <v>110.61768505013627</v>
      </c>
      <c r="AJ161" s="59">
        <f t="shared" si="216"/>
        <v>102.70600824360372</v>
      </c>
      <c r="AK161" s="7">
        <v>7.67</v>
      </c>
      <c r="AL161" s="7">
        <v>1.9650000000000001</v>
      </c>
      <c r="AM161" s="21">
        <f t="shared" si="237"/>
        <v>7.5357750000000001</v>
      </c>
      <c r="AN161" s="7">
        <v>7.67</v>
      </c>
      <c r="AO161" s="7">
        <v>0.11</v>
      </c>
      <c r="AP161" s="21">
        <f t="shared" si="186"/>
        <v>0.56246666666666667</v>
      </c>
      <c r="AQ161" s="7">
        <v>1.98</v>
      </c>
      <c r="AR161" s="7">
        <v>0</v>
      </c>
      <c r="AS161" s="21">
        <f t="shared" si="187"/>
        <v>0</v>
      </c>
      <c r="AT161" s="7">
        <v>7.47</v>
      </c>
      <c r="AU161" s="7">
        <v>0.59</v>
      </c>
      <c r="AV161" s="21">
        <f t="shared" si="188"/>
        <v>2.2036499999999997</v>
      </c>
      <c r="AW161" s="7">
        <v>3.65</v>
      </c>
      <c r="AX161" s="7">
        <v>0.49</v>
      </c>
      <c r="AY161" s="21">
        <f t="shared" si="189"/>
        <v>0.89424999999999999</v>
      </c>
      <c r="AZ161" s="7">
        <v>3.92</v>
      </c>
      <c r="BA161" s="7">
        <v>3.5000000000000003E-2</v>
      </c>
      <c r="BB161" s="21">
        <f t="shared" si="190"/>
        <v>9.1466666666666682E-2</v>
      </c>
      <c r="BC161" s="7">
        <v>1.89</v>
      </c>
      <c r="BD161" s="7">
        <v>1.6E-2</v>
      </c>
      <c r="BE161" s="21">
        <f t="shared" si="191"/>
        <v>2.0160000000000001E-2</v>
      </c>
      <c r="BF161" s="7">
        <v>1.89</v>
      </c>
      <c r="BG161" s="7">
        <v>0.64500000000000002</v>
      </c>
      <c r="BH161" s="21">
        <f t="shared" si="192"/>
        <v>0.60952499999999998</v>
      </c>
      <c r="BI161" s="7">
        <v>1.55</v>
      </c>
      <c r="BJ161" s="7">
        <v>0.02</v>
      </c>
      <c r="BK161" s="21">
        <f t="shared" si="193"/>
        <v>2.066666666666667E-2</v>
      </c>
      <c r="BN161" s="21">
        <f t="shared" si="194"/>
        <v>0</v>
      </c>
      <c r="BQ161" s="21">
        <f t="shared" si="195"/>
        <v>0</v>
      </c>
      <c r="BS161" s="21">
        <f t="shared" si="238"/>
        <v>11.93796</v>
      </c>
      <c r="BT161" s="4">
        <v>0</v>
      </c>
      <c r="BU161" s="4">
        <v>0</v>
      </c>
      <c r="BV161" s="21">
        <f t="shared" si="239"/>
        <v>0</v>
      </c>
      <c r="BW161" s="77">
        <f t="shared" si="217"/>
        <v>0</v>
      </c>
      <c r="BX161" s="7">
        <v>0</v>
      </c>
      <c r="BY161" s="21">
        <f t="shared" si="240"/>
        <v>0</v>
      </c>
      <c r="BZ161" s="7">
        <v>0</v>
      </c>
      <c r="CA161" s="7">
        <v>0</v>
      </c>
      <c r="CB161" s="21">
        <f t="shared" si="226"/>
        <v>0</v>
      </c>
      <c r="CC161" s="7">
        <v>0</v>
      </c>
      <c r="CD161" s="7">
        <v>0</v>
      </c>
      <c r="CE161" s="21">
        <f t="shared" si="227"/>
        <v>0</v>
      </c>
      <c r="CH161" s="21">
        <f t="shared" si="218"/>
        <v>0</v>
      </c>
      <c r="CI161" s="25">
        <f t="shared" si="219"/>
        <v>0</v>
      </c>
      <c r="CJ161" s="7">
        <v>0.34</v>
      </c>
      <c r="CK161" s="21">
        <f t="shared" si="220"/>
        <v>1.377</v>
      </c>
      <c r="CL161" s="11">
        <v>0</v>
      </c>
      <c r="CM161" s="11" t="s">
        <v>560</v>
      </c>
      <c r="CN161" s="12">
        <v>43627</v>
      </c>
      <c r="CO161" s="11" t="s">
        <v>385</v>
      </c>
      <c r="CP161" s="11">
        <v>0</v>
      </c>
      <c r="CQ161" s="11">
        <v>0</v>
      </c>
      <c r="CR161" s="11">
        <v>0</v>
      </c>
      <c r="CS161" s="11">
        <v>0</v>
      </c>
      <c r="CY161" s="21">
        <f t="shared" si="241"/>
        <v>0</v>
      </c>
      <c r="CZ161" s="13">
        <v>3.4</v>
      </c>
      <c r="DA161" s="13">
        <v>7.61</v>
      </c>
      <c r="DB161" s="13">
        <v>6.97</v>
      </c>
      <c r="DC161" s="13">
        <v>2.29</v>
      </c>
      <c r="DD161" s="61">
        <f t="shared" si="221"/>
        <v>0.67352941176470593</v>
      </c>
      <c r="DE161" s="21">
        <f t="shared" si="222"/>
        <v>15.260399999999999</v>
      </c>
      <c r="DF161" s="11">
        <v>0</v>
      </c>
      <c r="DG161" s="11">
        <v>0</v>
      </c>
      <c r="DI161" s="11">
        <v>0</v>
      </c>
      <c r="DK161" s="14">
        <v>0</v>
      </c>
      <c r="DM161" s="58">
        <f t="shared" si="205"/>
        <v>545.4222343982899</v>
      </c>
      <c r="DN161" s="58">
        <f t="shared" si="242"/>
        <v>426</v>
      </c>
      <c r="DO161" s="21">
        <f t="shared" si="243"/>
        <v>0.78104626678808464</v>
      </c>
      <c r="DP161" s="62">
        <f t="shared" si="244"/>
        <v>1.0275561344351545</v>
      </c>
      <c r="DR161" s="107">
        <f t="shared" si="206"/>
        <v>0</v>
      </c>
    </row>
    <row r="162" spans="1:244" x14ac:dyDescent="0.2">
      <c r="A162" s="53" t="s">
        <v>561</v>
      </c>
      <c r="B162" s="54">
        <v>2</v>
      </c>
      <c r="C162" s="92">
        <f t="shared" si="207"/>
        <v>110.98895191404682</v>
      </c>
      <c r="D162" s="92">
        <f t="shared" si="208"/>
        <v>105.20768604226832</v>
      </c>
      <c r="E162" s="92">
        <f>VLOOKUP(A162,[3]TRTOTAL!$A$7:$D$313,3,FALSE)</f>
        <v>112.08732029960302</v>
      </c>
      <c r="F162" s="92">
        <f>VLOOKUP(A162,[3]TRTOTAL!$A$7:$D$313,4,FALSE)</f>
        <v>106.24884188952635</v>
      </c>
      <c r="G162" s="92">
        <f t="shared" si="209"/>
        <v>-1.0983683855561992</v>
      </c>
      <c r="H162" s="92">
        <f t="shared" si="210"/>
        <v>-1.0411558472580253</v>
      </c>
      <c r="I162" s="54">
        <v>4.7</v>
      </c>
      <c r="J162" s="56">
        <v>4.7</v>
      </c>
      <c r="K162" s="54">
        <v>2.34</v>
      </c>
      <c r="L162" s="57">
        <v>2</v>
      </c>
      <c r="M162" s="57">
        <v>0</v>
      </c>
      <c r="N162" s="57">
        <v>160</v>
      </c>
      <c r="O162" s="87" t="s">
        <v>595</v>
      </c>
      <c r="P162" s="24">
        <f t="shared" si="228"/>
        <v>13.314960000000001</v>
      </c>
      <c r="Q162" s="24">
        <f t="shared" si="245"/>
        <v>7.67</v>
      </c>
      <c r="R162" s="24">
        <f t="shared" si="229"/>
        <v>3.2838333333333338</v>
      </c>
      <c r="S162" s="7">
        <v>8.1</v>
      </c>
      <c r="T162" s="21">
        <f t="shared" si="230"/>
        <v>4.7751999999999999</v>
      </c>
      <c r="V162" s="24">
        <f t="shared" si="231"/>
        <v>1.9650000000000001</v>
      </c>
      <c r="W162" s="24">
        <f t="shared" si="232"/>
        <v>2.1350000000000002</v>
      </c>
      <c r="X162" s="24">
        <f t="shared" si="233"/>
        <v>2.921084413340719</v>
      </c>
      <c r="Y162" s="25">
        <f t="shared" si="223"/>
        <v>1</v>
      </c>
      <c r="Z162" s="24">
        <f t="shared" si="211"/>
        <v>12.304894684680228</v>
      </c>
      <c r="AA162" s="21">
        <f t="shared" si="234"/>
        <v>1.8846610039791858</v>
      </c>
      <c r="AB162" s="24">
        <f t="shared" si="212"/>
        <v>2.8594570438764286</v>
      </c>
      <c r="AC162" s="24">
        <f t="shared" si="225"/>
        <v>17.621114227011429</v>
      </c>
      <c r="AD162" s="58">
        <f t="shared" si="235"/>
        <v>294</v>
      </c>
      <c r="AE162" s="58">
        <f t="shared" si="236"/>
        <v>300</v>
      </c>
      <c r="AF162" s="21">
        <f t="shared" si="213"/>
        <v>2.2890599999999997</v>
      </c>
      <c r="AG162" s="77">
        <f t="shared" si="214"/>
        <v>2.828491914158707</v>
      </c>
      <c r="AH162" s="114">
        <f t="shared" si="224"/>
        <v>0.95</v>
      </c>
      <c r="AI162" s="59">
        <f t="shared" si="215"/>
        <v>110.98895191404682</v>
      </c>
      <c r="AJ162" s="59">
        <f t="shared" si="216"/>
        <v>105.20768604226832</v>
      </c>
      <c r="AK162" s="7">
        <v>7.67</v>
      </c>
      <c r="AL162" s="7">
        <v>1.9650000000000001</v>
      </c>
      <c r="AM162" s="21">
        <f t="shared" si="237"/>
        <v>7.5357750000000001</v>
      </c>
      <c r="AN162" s="7">
        <v>7.67</v>
      </c>
      <c r="AO162" s="7">
        <v>0.11</v>
      </c>
      <c r="AP162" s="21">
        <f t="shared" si="186"/>
        <v>0.56246666666666667</v>
      </c>
      <c r="AQ162" s="7">
        <v>1.98</v>
      </c>
      <c r="AR162" s="7">
        <v>0</v>
      </c>
      <c r="AS162" s="21">
        <f t="shared" si="187"/>
        <v>0</v>
      </c>
      <c r="AT162" s="7">
        <v>7.47</v>
      </c>
      <c r="AU162" s="7">
        <v>0.59</v>
      </c>
      <c r="AV162" s="21">
        <f t="shared" si="188"/>
        <v>2.2036499999999997</v>
      </c>
      <c r="AW162" s="7">
        <v>3.65</v>
      </c>
      <c r="AX162" s="7">
        <v>0.49</v>
      </c>
      <c r="AY162" s="21">
        <f t="shared" si="189"/>
        <v>0.89424999999999999</v>
      </c>
      <c r="AZ162" s="7">
        <v>3.92</v>
      </c>
      <c r="BA162" s="7">
        <v>3.5000000000000003E-2</v>
      </c>
      <c r="BB162" s="21">
        <f t="shared" si="190"/>
        <v>9.1466666666666682E-2</v>
      </c>
      <c r="BC162" s="7">
        <v>1.89</v>
      </c>
      <c r="BD162" s="7">
        <v>1.6E-2</v>
      </c>
      <c r="BE162" s="21">
        <f t="shared" si="191"/>
        <v>2.0160000000000001E-2</v>
      </c>
      <c r="BF162" s="7">
        <v>1.89</v>
      </c>
      <c r="BG162" s="7">
        <v>0.64500000000000002</v>
      </c>
      <c r="BH162" s="21">
        <f t="shared" si="192"/>
        <v>0.60952499999999998</v>
      </c>
      <c r="BI162" s="7">
        <v>1.55</v>
      </c>
      <c r="BJ162" s="7">
        <v>0.02</v>
      </c>
      <c r="BK162" s="21">
        <f t="shared" si="193"/>
        <v>2.066666666666667E-2</v>
      </c>
      <c r="BN162" s="21">
        <f t="shared" si="194"/>
        <v>0</v>
      </c>
      <c r="BQ162" s="21">
        <f t="shared" si="195"/>
        <v>0</v>
      </c>
      <c r="BS162" s="21">
        <f t="shared" si="238"/>
        <v>11.93796</v>
      </c>
      <c r="BT162" s="4">
        <v>5.08</v>
      </c>
      <c r="BU162" s="4">
        <v>1.32</v>
      </c>
      <c r="BV162" s="21">
        <f t="shared" si="239"/>
        <v>3.3528000000000002</v>
      </c>
      <c r="BW162" s="77">
        <f t="shared" si="217"/>
        <v>5.08</v>
      </c>
      <c r="BX162" s="7">
        <v>-5.0000000000000001E-3</v>
      </c>
      <c r="BY162" s="21">
        <f t="shared" si="240"/>
        <v>-1.6933333333333335E-2</v>
      </c>
      <c r="BZ162" s="7">
        <v>4.79</v>
      </c>
      <c r="CA162" s="7">
        <v>-2.5000000000000001E-2</v>
      </c>
      <c r="CB162" s="21">
        <f t="shared" si="226"/>
        <v>-7.9833333333333339E-2</v>
      </c>
      <c r="CC162" s="7">
        <v>1.39</v>
      </c>
      <c r="CD162" s="7">
        <v>0.03</v>
      </c>
      <c r="CE162" s="21">
        <f t="shared" si="227"/>
        <v>2.7799999999999995E-2</v>
      </c>
      <c r="CH162" s="21">
        <f t="shared" si="218"/>
        <v>0</v>
      </c>
      <c r="CI162" s="25">
        <f t="shared" si="219"/>
        <v>3.2838333333333338</v>
      </c>
      <c r="CJ162" s="7">
        <v>0.34</v>
      </c>
      <c r="CK162" s="21">
        <f t="shared" si="220"/>
        <v>1.377</v>
      </c>
      <c r="CL162" s="11">
        <v>0</v>
      </c>
      <c r="CM162" s="11" t="s">
        <v>560</v>
      </c>
      <c r="CN162" s="12">
        <v>43627</v>
      </c>
      <c r="CO162" s="11" t="s">
        <v>385</v>
      </c>
      <c r="CP162" s="11">
        <v>0</v>
      </c>
      <c r="CQ162" s="11">
        <v>0</v>
      </c>
      <c r="CR162" s="11">
        <v>0</v>
      </c>
      <c r="CS162" s="11">
        <v>0</v>
      </c>
      <c r="CY162" s="21">
        <f t="shared" si="241"/>
        <v>0</v>
      </c>
      <c r="CZ162" s="13">
        <v>3.4</v>
      </c>
      <c r="DA162" s="13">
        <v>7.61</v>
      </c>
      <c r="DB162" s="13">
        <v>6.97</v>
      </c>
      <c r="DC162" s="13">
        <v>2.29</v>
      </c>
      <c r="DD162" s="61">
        <f t="shared" si="221"/>
        <v>0.67352941176470593</v>
      </c>
      <c r="DE162" s="21">
        <f t="shared" si="222"/>
        <v>15.260399999999999</v>
      </c>
      <c r="DF162" s="11">
        <v>0</v>
      </c>
      <c r="DG162" s="11">
        <v>0</v>
      </c>
      <c r="DI162" s="11">
        <v>0</v>
      </c>
      <c r="DK162" s="14">
        <v>0</v>
      </c>
      <c r="DM162" s="58">
        <f t="shared" si="205"/>
        <v>627.50130114484728</v>
      </c>
      <c r="DN162" s="58">
        <f t="shared" si="242"/>
        <v>647.78</v>
      </c>
      <c r="DO162" s="21">
        <f t="shared" si="243"/>
        <v>1.032316584552343</v>
      </c>
      <c r="DP162" s="62">
        <f t="shared" si="244"/>
        <v>1</v>
      </c>
      <c r="DR162" s="107">
        <f t="shared" si="206"/>
        <v>0</v>
      </c>
    </row>
    <row r="163" spans="1:244" s="86" customFormat="1" ht="12.95" customHeight="1" x14ac:dyDescent="0.2">
      <c r="A163" s="82" t="s">
        <v>496</v>
      </c>
      <c r="B163" s="72">
        <v>2</v>
      </c>
      <c r="C163" s="93">
        <f t="shared" si="207"/>
        <v>94.522059808562119</v>
      </c>
      <c r="D163" s="93">
        <f t="shared" si="208"/>
        <v>88.646157850562687</v>
      </c>
      <c r="E163" s="92">
        <f>VLOOKUP(A163,[3]TRTOTAL!$A$7:$D$313,3,FALSE)</f>
        <v>94.522059808562119</v>
      </c>
      <c r="F163" s="92">
        <f>VLOOKUP(A163,[3]TRTOTAL!$A$7:$D$313,4,FALSE)</f>
        <v>88.646157850562687</v>
      </c>
      <c r="G163" s="92">
        <f t="shared" si="209"/>
        <v>0</v>
      </c>
      <c r="H163" s="92">
        <f t="shared" si="210"/>
        <v>0</v>
      </c>
      <c r="I163" s="72">
        <v>5.5</v>
      </c>
      <c r="J163" s="56">
        <v>5.5</v>
      </c>
      <c r="K163" s="54">
        <v>3</v>
      </c>
      <c r="L163" s="75">
        <v>2</v>
      </c>
      <c r="M163" s="75"/>
      <c r="N163" s="75">
        <v>159.6</v>
      </c>
      <c r="O163" s="85" t="s">
        <v>595</v>
      </c>
      <c r="P163" s="76">
        <f t="shared" si="228"/>
        <v>17.854334999999999</v>
      </c>
      <c r="Q163" s="24">
        <f t="shared" si="245"/>
        <v>9.1999999999999993</v>
      </c>
      <c r="R163" s="76">
        <f t="shared" si="229"/>
        <v>5.5063346666666675</v>
      </c>
      <c r="S163" s="88">
        <v>9.6</v>
      </c>
      <c r="T163" s="77">
        <f t="shared" si="230"/>
        <v>6.6457999999999995</v>
      </c>
      <c r="U163" s="77"/>
      <c r="V163" s="76">
        <f t="shared" si="231"/>
        <v>2.2050000000000001</v>
      </c>
      <c r="W163" s="76">
        <f t="shared" si="232"/>
        <v>2.4125000000000001</v>
      </c>
      <c r="X163" s="76">
        <f t="shared" si="233"/>
        <v>3.0676727965851431</v>
      </c>
      <c r="Y163" s="25">
        <f t="shared" si="223"/>
        <v>1</v>
      </c>
      <c r="Z163" s="76">
        <f t="shared" si="211"/>
        <v>16.744076225041741</v>
      </c>
      <c r="AA163" s="77">
        <f t="shared" si="234"/>
        <v>2.2978447920909311</v>
      </c>
      <c r="AB163" s="76">
        <f t="shared" si="212"/>
        <v>5.0885179087169572</v>
      </c>
      <c r="AC163" s="76">
        <f>rsam+rsag+IF(rsascr,rsascr-0.13*rsag,rsas-0.13*rsag)</f>
        <v>26.043184011872</v>
      </c>
      <c r="AD163" s="79">
        <f t="shared" si="235"/>
        <v>303.60000000000002</v>
      </c>
      <c r="AE163" s="79">
        <f t="shared" si="236"/>
        <v>309.60000000000002</v>
      </c>
      <c r="AF163" s="21">
        <f t="shared" si="213"/>
        <v>3.4599199999999999</v>
      </c>
      <c r="AG163" s="77">
        <f t="shared" si="214"/>
        <v>4.8720972062465089</v>
      </c>
      <c r="AH163" s="114">
        <f t="shared" si="224"/>
        <v>0.95</v>
      </c>
      <c r="AI163" s="80">
        <f t="shared" si="215"/>
        <v>92.474692507955012</v>
      </c>
      <c r="AJ163" s="80">
        <f t="shared" si="216"/>
        <v>86.726063797647654</v>
      </c>
      <c r="AK163" s="73">
        <v>9.1999999999999993</v>
      </c>
      <c r="AL163" s="73">
        <v>2.2050000000000001</v>
      </c>
      <c r="AM163" s="77">
        <f t="shared" si="237"/>
        <v>10.142999999999999</v>
      </c>
      <c r="AN163" s="72">
        <v>9.1999999999999993</v>
      </c>
      <c r="AO163" s="73">
        <v>0.09</v>
      </c>
      <c r="AP163" s="77">
        <f t="shared" si="186"/>
        <v>0.55199999999999994</v>
      </c>
      <c r="AQ163" s="73">
        <v>2.2320000000000002</v>
      </c>
      <c r="AR163" s="73">
        <v>4.4999999999999998E-2</v>
      </c>
      <c r="AS163" s="77">
        <f t="shared" si="187"/>
        <v>6.6960000000000006E-2</v>
      </c>
      <c r="AT163" s="72">
        <v>9.0500000000000007</v>
      </c>
      <c r="AU163" s="72">
        <v>0.995</v>
      </c>
      <c r="AV163" s="77">
        <f t="shared" si="188"/>
        <v>4.5023750000000007</v>
      </c>
      <c r="AW163" s="72">
        <v>0</v>
      </c>
      <c r="AX163" s="72">
        <v>0</v>
      </c>
      <c r="AY163" s="77">
        <f t="shared" si="189"/>
        <v>0</v>
      </c>
      <c r="AZ163" s="72">
        <v>0</v>
      </c>
      <c r="BA163" s="72">
        <v>0</v>
      </c>
      <c r="BB163" s="77">
        <f t="shared" si="190"/>
        <v>0</v>
      </c>
      <c r="BC163" s="72">
        <v>0</v>
      </c>
      <c r="BD163" s="72">
        <v>0</v>
      </c>
      <c r="BE163" s="77">
        <f t="shared" si="191"/>
        <v>0</v>
      </c>
      <c r="BF163" s="73">
        <v>0</v>
      </c>
      <c r="BG163" s="73">
        <v>0</v>
      </c>
      <c r="BH163" s="77">
        <f t="shared" si="192"/>
        <v>0</v>
      </c>
      <c r="BI163" s="73">
        <v>8.9700000000000006</v>
      </c>
      <c r="BJ163" s="73">
        <v>0.1</v>
      </c>
      <c r="BK163" s="77">
        <f t="shared" si="193"/>
        <v>0.59800000000000009</v>
      </c>
      <c r="BL163" s="73"/>
      <c r="BM163" s="73"/>
      <c r="BN163" s="77">
        <f t="shared" si="194"/>
        <v>0</v>
      </c>
      <c r="BO163" s="73"/>
      <c r="BP163" s="73"/>
      <c r="BQ163" s="77">
        <f t="shared" si="195"/>
        <v>0</v>
      </c>
      <c r="BR163" s="73"/>
      <c r="BS163" s="77">
        <f t="shared" si="238"/>
        <v>15.862335</v>
      </c>
      <c r="BT163" s="74">
        <v>7.07</v>
      </c>
      <c r="BU163" s="74">
        <v>1.548</v>
      </c>
      <c r="BV163" s="77">
        <f t="shared" si="239"/>
        <v>5.4721800000000007</v>
      </c>
      <c r="BW163" s="77">
        <f t="shared" si="217"/>
        <v>7.07</v>
      </c>
      <c r="BX163" s="73">
        <v>0</v>
      </c>
      <c r="BY163" s="77">
        <f t="shared" si="240"/>
        <v>0</v>
      </c>
      <c r="BZ163" s="73">
        <v>6.8120000000000003</v>
      </c>
      <c r="CA163" s="73">
        <v>0</v>
      </c>
      <c r="CB163" s="77">
        <f t="shared" si="226"/>
        <v>0</v>
      </c>
      <c r="CC163" s="72">
        <v>1.601</v>
      </c>
      <c r="CD163" s="72">
        <v>3.2000000000000001E-2</v>
      </c>
      <c r="CE163" s="77">
        <f t="shared" si="227"/>
        <v>3.4154666666666667E-2</v>
      </c>
      <c r="CF163" s="77"/>
      <c r="CG163" s="77"/>
      <c r="CH163" s="21">
        <f t="shared" si="218"/>
        <v>0</v>
      </c>
      <c r="CI163" s="25">
        <f t="shared" si="219"/>
        <v>5.5063346666666675</v>
      </c>
      <c r="CJ163" s="72">
        <v>0.41499999999999998</v>
      </c>
      <c r="CK163" s="21">
        <f t="shared" si="220"/>
        <v>1.9919999999999998</v>
      </c>
      <c r="CL163" s="73" t="s">
        <v>494</v>
      </c>
      <c r="CM163" s="73" t="s">
        <v>495</v>
      </c>
      <c r="CN163" s="81">
        <v>42655</v>
      </c>
      <c r="CO163" s="73" t="s">
        <v>148</v>
      </c>
      <c r="CP163" s="73">
        <v>111</v>
      </c>
      <c r="CQ163" s="73">
        <v>222</v>
      </c>
      <c r="CR163" s="73">
        <v>333</v>
      </c>
      <c r="CS163" s="73">
        <v>444</v>
      </c>
      <c r="CT163" s="73"/>
      <c r="CU163" s="73"/>
      <c r="CV163" s="73"/>
      <c r="CW163" s="73"/>
      <c r="CX163" s="73"/>
      <c r="CY163" s="77">
        <f t="shared" si="241"/>
        <v>0</v>
      </c>
      <c r="CZ163" s="74">
        <v>4.18</v>
      </c>
      <c r="DA163" s="74">
        <v>10.24</v>
      </c>
      <c r="DB163" s="74">
        <v>9.2799999999999994</v>
      </c>
      <c r="DC163" s="74">
        <v>2.5</v>
      </c>
      <c r="DD163" s="61">
        <f t="shared" si="221"/>
        <v>0.59808612440191389</v>
      </c>
      <c r="DE163" s="21">
        <f t="shared" si="222"/>
        <v>23.066133333333333</v>
      </c>
      <c r="DF163" s="73">
        <v>0</v>
      </c>
      <c r="DG163" s="73">
        <v>0</v>
      </c>
      <c r="DH163" s="73"/>
      <c r="DI163" s="73"/>
      <c r="DJ163" s="105"/>
      <c r="DK163" s="82"/>
      <c r="DL163" s="83"/>
      <c r="DM163" s="58">
        <f t="shared" si="205"/>
        <v>1013.314932692631</v>
      </c>
      <c r="DN163" s="79">
        <f t="shared" si="242"/>
        <v>830.40000000000009</v>
      </c>
      <c r="DO163" s="77">
        <f t="shared" si="243"/>
        <v>0.81948856491576583</v>
      </c>
      <c r="DP163" s="84">
        <f t="shared" si="244"/>
        <v>1.0221397578632769</v>
      </c>
      <c r="DQ163" s="85" t="s">
        <v>130</v>
      </c>
      <c r="DR163" s="107">
        <f t="shared" si="206"/>
        <v>0</v>
      </c>
      <c r="DS163" s="83"/>
      <c r="DT163" s="83"/>
      <c r="DU163" s="83"/>
      <c r="DV163" s="83"/>
      <c r="DW163" s="83"/>
      <c r="DX163" s="83"/>
      <c r="DY163" s="83"/>
      <c r="DZ163" s="83"/>
      <c r="EA163" s="83"/>
      <c r="EB163" s="83"/>
      <c r="EC163" s="83"/>
      <c r="ED163" s="83"/>
      <c r="EE163" s="83"/>
      <c r="EF163" s="83"/>
      <c r="EG163" s="83"/>
      <c r="EH163" s="83"/>
      <c r="EI163" s="83"/>
      <c r="EJ163" s="83"/>
      <c r="EK163" s="83"/>
      <c r="EL163" s="83"/>
      <c r="EM163" s="83"/>
      <c r="EN163" s="83"/>
      <c r="EO163" s="83"/>
      <c r="EP163" s="83"/>
      <c r="EQ163" s="83"/>
      <c r="ER163" s="83"/>
      <c r="ES163" s="83"/>
      <c r="ET163" s="83"/>
      <c r="EU163" s="83"/>
      <c r="EV163" s="83"/>
      <c r="EW163" s="83"/>
      <c r="EX163" s="83"/>
      <c r="EY163" s="83"/>
      <c r="EZ163" s="83"/>
      <c r="FA163" s="83"/>
      <c r="FB163" s="83"/>
      <c r="FC163" s="83"/>
      <c r="FD163" s="83"/>
      <c r="FE163" s="83"/>
      <c r="FF163" s="83"/>
      <c r="FG163" s="83"/>
      <c r="FH163" s="83"/>
      <c r="FI163" s="83"/>
      <c r="FJ163" s="83"/>
      <c r="FK163" s="83"/>
      <c r="FL163" s="83"/>
      <c r="FM163" s="83"/>
      <c r="FN163" s="83"/>
      <c r="FO163" s="83"/>
      <c r="FP163" s="83"/>
      <c r="FQ163" s="83"/>
      <c r="FR163" s="83"/>
      <c r="FS163" s="83"/>
      <c r="FT163" s="83"/>
      <c r="FU163" s="83"/>
      <c r="FV163" s="83"/>
      <c r="FW163" s="83"/>
      <c r="FX163" s="83"/>
      <c r="FY163" s="83"/>
      <c r="FZ163" s="83"/>
      <c r="GA163" s="83"/>
      <c r="GB163" s="83"/>
      <c r="GC163" s="83"/>
      <c r="GD163" s="83"/>
      <c r="GE163" s="83"/>
      <c r="GF163" s="83"/>
      <c r="GG163" s="83"/>
      <c r="GH163" s="83"/>
      <c r="GI163" s="83"/>
      <c r="GJ163" s="83"/>
      <c r="GK163" s="83"/>
      <c r="GL163" s="83"/>
      <c r="GM163" s="83"/>
      <c r="GN163" s="83"/>
      <c r="GO163" s="83"/>
      <c r="GP163" s="83"/>
      <c r="GQ163" s="83"/>
      <c r="GR163" s="83"/>
      <c r="GS163" s="83"/>
      <c r="GT163" s="83"/>
      <c r="GU163" s="83"/>
      <c r="GV163" s="83"/>
      <c r="GW163" s="83"/>
      <c r="GX163" s="83"/>
      <c r="GY163" s="83"/>
      <c r="GZ163" s="83"/>
      <c r="HA163" s="83"/>
      <c r="HB163" s="83"/>
      <c r="HC163" s="83"/>
      <c r="HD163" s="83"/>
      <c r="HE163" s="83"/>
      <c r="HF163" s="83"/>
      <c r="HG163" s="83"/>
      <c r="HH163" s="83"/>
      <c r="HI163" s="83"/>
      <c r="HJ163" s="83"/>
      <c r="HK163" s="83"/>
      <c r="HL163" s="83"/>
      <c r="HM163" s="83"/>
      <c r="HN163" s="83"/>
      <c r="HO163" s="83"/>
      <c r="HP163" s="83"/>
      <c r="HQ163" s="83"/>
      <c r="HR163" s="83"/>
      <c r="HS163" s="83"/>
      <c r="HT163" s="83"/>
      <c r="HU163" s="83"/>
      <c r="HV163" s="83"/>
      <c r="HW163" s="83"/>
      <c r="HX163" s="83"/>
      <c r="HY163" s="83"/>
      <c r="HZ163" s="83"/>
      <c r="IA163" s="83"/>
      <c r="IB163" s="83"/>
      <c r="IC163" s="83"/>
      <c r="ID163" s="83"/>
      <c r="IE163" s="83"/>
      <c r="IF163" s="83"/>
      <c r="IG163" s="83"/>
      <c r="IH163" s="83"/>
      <c r="II163" s="83"/>
      <c r="IJ163" s="83"/>
    </row>
    <row r="164" spans="1:244" ht="12.75" customHeight="1" x14ac:dyDescent="0.2">
      <c r="A164" s="53" t="s">
        <v>571</v>
      </c>
      <c r="B164" s="54">
        <v>2</v>
      </c>
      <c r="C164" s="92">
        <f t="shared" si="207"/>
        <v>106.79148956323066</v>
      </c>
      <c r="D164" s="92">
        <f t="shared" si="208"/>
        <v>102.57000160748831</v>
      </c>
      <c r="E164" s="92">
        <f>VLOOKUP(A164,[3]TRTOTAL!$A$7:$D$313,3,FALSE)</f>
        <v>108.12273213856864</v>
      </c>
      <c r="F164" s="92">
        <f>VLOOKUP(A164,[3]TRTOTAL!$A$7:$D$313,4,FALSE)</f>
        <v>103.72235949726108</v>
      </c>
      <c r="G164" s="92"/>
      <c r="H164" s="92"/>
      <c r="I164" s="54">
        <v>5</v>
      </c>
      <c r="J164" s="56">
        <v>5</v>
      </c>
      <c r="K164" s="54">
        <v>2.5</v>
      </c>
      <c r="L164" s="57">
        <v>2</v>
      </c>
      <c r="M164" s="57"/>
      <c r="N164" s="57">
        <v>123</v>
      </c>
      <c r="O164" s="87"/>
      <c r="P164" s="24">
        <f t="shared" si="228"/>
        <v>15</v>
      </c>
      <c r="Q164" s="24">
        <f t="shared" si="245"/>
        <v>8.48</v>
      </c>
      <c r="R164" s="24">
        <f t="shared" si="229"/>
        <v>3.7</v>
      </c>
      <c r="S164" s="87">
        <v>8.5</v>
      </c>
      <c r="T164" s="21">
        <f>IF(gs_1,gs_1*0.94,VlgNoDetails)</f>
        <v>5.64</v>
      </c>
      <c r="U164" s="108"/>
      <c r="V164" s="24">
        <f t="shared" si="231"/>
        <v>2.06</v>
      </c>
      <c r="W164" s="24">
        <f>IF(circMast,circMast/2,0.16)+V164</f>
        <v>2.2200000000000002</v>
      </c>
      <c r="X164" s="24">
        <f>msam/e^2</f>
        <v>3.0435841246652053</v>
      </c>
      <c r="Y164" s="25">
        <f t="shared" si="223"/>
        <v>1</v>
      </c>
      <c r="Z164" s="24">
        <f>0.67*X164^0.3*msam*Y164</f>
        <v>14.034005900949326</v>
      </c>
      <c r="AA164" s="21">
        <f>IF(lpg,msag/lpg^2,0)</f>
        <v>0</v>
      </c>
      <c r="AB164" s="24">
        <f>IF(AA164,0.72*AA164^0.3*msag,IF(msag,0.9*msag,0))</f>
        <v>3.33</v>
      </c>
      <c r="AC164" s="24">
        <f>rsam+rsag+IF(rsascr,rsascr-jibred*rsag,rsas-jibred*rsag)</f>
        <v>19.556105900949326</v>
      </c>
      <c r="AD164" s="58">
        <f>IF(wsex,wsex,wsin-6)+crew*(IF(AND(crew=1,msam+msag&gt;=11),75,IF(loa&lt;=4,65,IF(loa&lt;=4.8,70,75))))</f>
        <v>267</v>
      </c>
      <c r="AE164" s="58">
        <f>IF(wsin,wsin,wsex+6)+crew*(IF(AND(crew=1,msam+msag&gt;=11),75,IF(loa&lt;=4,65,IF(loa&lt;=4.8,70,75))))</f>
        <v>273</v>
      </c>
      <c r="AF164" s="21">
        <f>IF(sas,((sas)*0.15),IF(loa&lt;=4.87,IF(crew=1,14*0.15,17*0.15),IF(loa&lt;=5.8,IF(crew=1,17*0.15,21*0.15),IF(loa&lt;=6.71,IF(crew=1,20*0.15,25*0.15),0))))</f>
        <v>2.625</v>
      </c>
      <c r="AG164" s="77">
        <f>IF(AND(ars&lt;0.75*(AND(ars&gt;0)),(sas/msam&gt;0.75)),(sas*(12/ars^1.1)*0.01),0)</f>
        <v>0</v>
      </c>
      <c r="AH164" s="114">
        <f t="shared" si="224"/>
        <v>1</v>
      </c>
      <c r="AI164" s="59">
        <f>100/(1.15*rl^0.3*(rsam+rsag)^0.4/rwex^0.325)*corcb</f>
        <v>105.28520531670198</v>
      </c>
      <c r="AJ164" s="59">
        <f>100/(1.15*rl^0.3*rsa^0.4/rwin^0.325)*corcb</f>
        <v>101.12326106458856</v>
      </c>
      <c r="AK164" s="55"/>
      <c r="AL164" s="55">
        <v>2.06</v>
      </c>
      <c r="AM164" s="21">
        <f>AK164*AL164*0.5</f>
        <v>0</v>
      </c>
      <c r="AN164" s="55">
        <v>8.48</v>
      </c>
      <c r="AO164" s="55"/>
      <c r="AP164" s="21">
        <f>AN164*AO164*2/3</f>
        <v>0</v>
      </c>
      <c r="AQ164" s="55"/>
      <c r="AR164" s="55">
        <v>0</v>
      </c>
      <c r="AS164" s="21">
        <f>AQ164*AR164*2/3</f>
        <v>0</v>
      </c>
      <c r="AT164" s="54"/>
      <c r="AU164" s="54"/>
      <c r="AV164" s="21">
        <f>AT164*AU164*0.5</f>
        <v>0</v>
      </c>
      <c r="AW164" s="54"/>
      <c r="AX164" s="54"/>
      <c r="AY164" s="21">
        <f>AW164*AX164*0.5</f>
        <v>0</v>
      </c>
      <c r="AZ164" s="54"/>
      <c r="BA164" s="54"/>
      <c r="BB164" s="21">
        <f>AZ164*BA164*2/3</f>
        <v>0</v>
      </c>
      <c r="BC164" s="54"/>
      <c r="BD164" s="54"/>
      <c r="BE164" s="21">
        <f>BC164*BD164*2/3</f>
        <v>0</v>
      </c>
      <c r="BF164" s="55"/>
      <c r="BG164" s="55"/>
      <c r="BH164" s="21">
        <f>BF164*BG164*0.5</f>
        <v>0</v>
      </c>
      <c r="BI164" s="55"/>
      <c r="BJ164" s="55"/>
      <c r="BK164" s="21">
        <f>BI164*BJ164*2/3</f>
        <v>0</v>
      </c>
      <c r="BL164" s="55"/>
      <c r="BM164" s="55"/>
      <c r="BN164" s="21">
        <f>BL164*BM164*0.5</f>
        <v>0</v>
      </c>
      <c r="BO164" s="55"/>
      <c r="BP164" s="55"/>
      <c r="BQ164" s="21">
        <f>BO164*BP164*0.5</f>
        <v>0</v>
      </c>
      <c r="BR164" s="55"/>
      <c r="BS164" s="21">
        <f>AM164+AP164+AS164+AV164+AY164+BB164+BE164+BH164+BK164+BN164+BQ164</f>
        <v>0</v>
      </c>
      <c r="BT164" s="56">
        <v>0</v>
      </c>
      <c r="BU164" s="56"/>
      <c r="BV164" s="21">
        <f>BT164*BU164*0.5</f>
        <v>0</v>
      </c>
      <c r="BW164" s="77">
        <f>BT164-CF164</f>
        <v>0</v>
      </c>
      <c r="BX164" s="55"/>
      <c r="BY164" s="21">
        <f>BW164*BX164*2/3</f>
        <v>0</v>
      </c>
      <c r="BZ164" s="55"/>
      <c r="CA164" s="55"/>
      <c r="CB164" s="21">
        <f>BZ164*CA164*2/3</f>
        <v>0</v>
      </c>
      <c r="CC164" s="54"/>
      <c r="CD164" s="54"/>
      <c r="CE164" s="21">
        <f>CC164*CD164*2/3</f>
        <v>0</v>
      </c>
      <c r="CF164" s="21"/>
      <c r="CG164" s="21"/>
      <c r="CH164" s="21">
        <f>CF164*CG164*0.5</f>
        <v>0</v>
      </c>
      <c r="CI164" s="25">
        <f>BV164+BY164+CB164+CE164+CH164+DG164</f>
        <v>3.7</v>
      </c>
      <c r="CJ164" s="54"/>
      <c r="CK164" s="21">
        <f>MastLength*circMast*0.5</f>
        <v>0</v>
      </c>
      <c r="CL164" s="55"/>
      <c r="CM164" s="55"/>
      <c r="CN164" s="60"/>
      <c r="CO164" s="55"/>
      <c r="CP164" s="55"/>
      <c r="CQ164" s="55"/>
      <c r="CR164" s="55"/>
      <c r="CS164" s="55"/>
      <c r="CT164" s="55"/>
      <c r="CU164" s="55"/>
      <c r="CV164" s="55"/>
      <c r="CW164" s="55"/>
      <c r="CX164" s="55"/>
      <c r="CY164" s="21">
        <f>(CT164+4*CU164+2*CV164+4*CW164+CX164)*AN164/12</f>
        <v>0</v>
      </c>
      <c r="CZ164" s="56"/>
      <c r="DA164" s="56"/>
      <c r="DB164" s="56"/>
      <c r="DC164" s="56"/>
      <c r="DD164" s="61">
        <f>IF(CZ164,DC164/CZ164,smg_sf_no_details)</f>
        <v>0</v>
      </c>
      <c r="DE164" s="21">
        <f>IF(CZ164,CZ164*(DA164+DB164)/4+(DC164-CZ164/2)*(DA164+DB164)/3,sas_no_details)</f>
        <v>17.5</v>
      </c>
      <c r="DF164" s="55">
        <v>15</v>
      </c>
      <c r="DG164" s="55">
        <v>3.7</v>
      </c>
      <c r="DH164" s="55">
        <v>5.64</v>
      </c>
      <c r="DI164" s="55">
        <v>17.5</v>
      </c>
      <c r="DJ164" s="104"/>
      <c r="DK164" s="53" t="s">
        <v>129</v>
      </c>
      <c r="DM164" s="58">
        <f t="shared" si="205"/>
        <v>763.78092241919978</v>
      </c>
      <c r="DN164" s="58">
        <f>IF(wsex,0.5*wsex*width+(rwex-wsex)*width+trapeze*(rwex-wsex)/crew,0.5*(wsin-6)*width+(rwin-wsin)*width+trapeze*(rwin-wsin)/crew)</f>
        <v>671.25</v>
      </c>
      <c r="DO164" s="21">
        <f>righting/heeling</f>
        <v>0.8788514877720206</v>
      </c>
      <c r="DP164" s="62">
        <f t="shared" si="244"/>
        <v>1.014306703795635</v>
      </c>
      <c r="DQ164" s="7" t="s">
        <v>130</v>
      </c>
      <c r="DR164" s="107" t="str">
        <f t="shared" si="206"/>
        <v>yes</v>
      </c>
    </row>
    <row r="165" spans="1:244" ht="12.75" customHeight="1" x14ac:dyDescent="0.2">
      <c r="A165" s="53" t="s">
        <v>572</v>
      </c>
      <c r="B165" s="54">
        <v>2</v>
      </c>
      <c r="C165" s="92">
        <f t="shared" si="207"/>
        <v>105.18961721978218</v>
      </c>
      <c r="D165" s="92">
        <f t="shared" si="208"/>
        <v>101.03145158337597</v>
      </c>
      <c r="E165" s="92">
        <f>VLOOKUP(A165,[3]TRTOTAL!$A$7:$D$313,3,FALSE)</f>
        <v>106.10428315309424</v>
      </c>
      <c r="F165" s="92">
        <f>VLOOKUP(A165,[3]TRTOTAL!$A$7:$D$313,4,FALSE)</f>
        <v>101.78605723077797</v>
      </c>
      <c r="G165" s="92"/>
      <c r="H165" s="92"/>
      <c r="I165" s="54">
        <v>5</v>
      </c>
      <c r="J165" s="56">
        <v>5</v>
      </c>
      <c r="K165" s="54">
        <v>2.5</v>
      </c>
      <c r="L165" s="57">
        <v>2</v>
      </c>
      <c r="M165" s="57"/>
      <c r="N165" s="57">
        <v>123</v>
      </c>
      <c r="O165" s="21" t="s">
        <v>602</v>
      </c>
      <c r="P165" s="24">
        <f t="shared" si="228"/>
        <v>15</v>
      </c>
      <c r="Q165" s="24">
        <f t="shared" si="245"/>
        <v>8.48</v>
      </c>
      <c r="R165" s="24">
        <f t="shared" si="229"/>
        <v>3.7</v>
      </c>
      <c r="S165" s="87">
        <v>8.5</v>
      </c>
      <c r="T165" s="21">
        <f>IF(gs_1,gs_1*0.94,VlgNoDetails)</f>
        <v>5.64</v>
      </c>
      <c r="U165" s="108"/>
      <c r="V165" s="24">
        <f t="shared" si="231"/>
        <v>2.06</v>
      </c>
      <c r="W165" s="24">
        <f>IF(circMast,circMast/2,0.16)+V165</f>
        <v>2.2200000000000002</v>
      </c>
      <c r="X165" s="24">
        <f>msam/e^2</f>
        <v>3.0435841246652053</v>
      </c>
      <c r="Y165" s="25">
        <f t="shared" si="223"/>
        <v>1</v>
      </c>
      <c r="Z165" s="24">
        <f>0.67*X165^0.3*msam*Y165</f>
        <v>14.034005900949326</v>
      </c>
      <c r="AA165" s="21">
        <f>IF(lpg,msag/lpg^2,0)</f>
        <v>0</v>
      </c>
      <c r="AB165" s="24">
        <f>IF(AA165,0.72*AA165^0.3*msag,IF(msag,0.9*msag,0))</f>
        <v>3.33</v>
      </c>
      <c r="AC165" s="24">
        <f>rsam+rsag+IF(rsascr,rsascr-jibred*rsag,rsas-jibred*rsag)</f>
        <v>19.556105900949326</v>
      </c>
      <c r="AD165" s="58">
        <f>IF(wsex,wsex,wsin-6)+crew*(IF(AND(crew=1,msam+msag&gt;=11),75,IF(loa&lt;=4,65,IF(loa&lt;=4.8,70,75))))</f>
        <v>267</v>
      </c>
      <c r="AE165" s="58">
        <f>IF(wsin,wsin,wsex+6)+crew*(IF(AND(crew=1,msam+msag&gt;=11),75,IF(loa&lt;=4,65,IF(loa&lt;=4.8,70,75))))</f>
        <v>273</v>
      </c>
      <c r="AF165" s="21">
        <f>IF(sas,((sas)*0.15),IF(loa&lt;=4.87,IF(crew=1,14*0.15,17*0.15),IF(loa&lt;=5.8,IF(crew=1,17*0.15,21*0.15),IF(loa&lt;=6.71,IF(crew=1,20*0.15,25*0.15),0))))</f>
        <v>2.625</v>
      </c>
      <c r="AG165" s="77">
        <f>IF(AND(ars&lt;0.75*(AND(ars&gt;0)),(sas/msam&gt;0.75)),(sas*(12/ars^1.1)*0.01),0)</f>
        <v>0</v>
      </c>
      <c r="AH165" s="114">
        <f t="shared" si="224"/>
        <v>0.98499999999999999</v>
      </c>
      <c r="AI165" s="59">
        <f>100/(1.15*rl^0.3*(rsam+rsag)^0.4/rwex^0.325)*corcb</f>
        <v>103.70592723695144</v>
      </c>
      <c r="AJ165" s="59">
        <f>100/(1.15*rl^0.3*rsa^0.4/rwin^0.325)*corcb</f>
        <v>99.606412148619725</v>
      </c>
      <c r="AK165" s="55"/>
      <c r="AL165" s="55">
        <v>2.06</v>
      </c>
      <c r="AM165" s="21">
        <f>AK165*AL165*0.5</f>
        <v>0</v>
      </c>
      <c r="AN165" s="55">
        <v>8.48</v>
      </c>
      <c r="AO165" s="55"/>
      <c r="AP165" s="21">
        <f>AN165*AO165*2/3</f>
        <v>0</v>
      </c>
      <c r="AQ165" s="55"/>
      <c r="AR165" s="55">
        <v>0</v>
      </c>
      <c r="AS165" s="21">
        <f>AQ165*AR165*2/3</f>
        <v>0</v>
      </c>
      <c r="AT165" s="54"/>
      <c r="AU165" s="54"/>
      <c r="AV165" s="21">
        <f>AT165*AU165*0.5</f>
        <v>0</v>
      </c>
      <c r="AW165" s="54"/>
      <c r="AX165" s="54"/>
      <c r="AY165" s="21">
        <f>AW165*AX165*0.5</f>
        <v>0</v>
      </c>
      <c r="AZ165" s="54"/>
      <c r="BA165" s="54"/>
      <c r="BB165" s="21">
        <f>AZ165*BA165*2/3</f>
        <v>0</v>
      </c>
      <c r="BC165" s="54"/>
      <c r="BD165" s="54"/>
      <c r="BE165" s="21">
        <f>BC165*BD165*2/3</f>
        <v>0</v>
      </c>
      <c r="BF165" s="55"/>
      <c r="BG165" s="55"/>
      <c r="BH165" s="21">
        <f>BF165*BG165*0.5</f>
        <v>0</v>
      </c>
      <c r="BI165" s="55"/>
      <c r="BJ165" s="55"/>
      <c r="BK165" s="21">
        <f>BI165*BJ165*2/3</f>
        <v>0</v>
      </c>
      <c r="BL165" s="55"/>
      <c r="BM165" s="55"/>
      <c r="BN165" s="21">
        <f>BL165*BM165*0.5</f>
        <v>0</v>
      </c>
      <c r="BO165" s="55"/>
      <c r="BP165" s="55"/>
      <c r="BQ165" s="21">
        <f>BO165*BP165*0.5</f>
        <v>0</v>
      </c>
      <c r="BR165" s="55"/>
      <c r="BS165" s="21">
        <f>AM165+AP165+AS165+AV165+AY165+BB165+BE165+BH165+BK165+BN165+BQ165</f>
        <v>0</v>
      </c>
      <c r="BT165" s="56">
        <v>0</v>
      </c>
      <c r="BU165" s="56"/>
      <c r="BV165" s="21">
        <f>BT165*BU165*0.5</f>
        <v>0</v>
      </c>
      <c r="BW165" s="77">
        <f>BT165-CF165</f>
        <v>0</v>
      </c>
      <c r="BX165" s="55"/>
      <c r="BY165" s="21">
        <f>BW165*BX165*2/3</f>
        <v>0</v>
      </c>
      <c r="BZ165" s="55"/>
      <c r="CA165" s="55"/>
      <c r="CB165" s="21">
        <f>BZ165*CA165*2/3</f>
        <v>0</v>
      </c>
      <c r="CC165" s="54"/>
      <c r="CD165" s="54"/>
      <c r="CE165" s="21">
        <f>CC165*CD165*2/3</f>
        <v>0</v>
      </c>
      <c r="CF165" s="21"/>
      <c r="CG165" s="21"/>
      <c r="CH165" s="21">
        <f>CF165*CG165*0.5</f>
        <v>0</v>
      </c>
      <c r="CI165" s="25">
        <f>BV165+BY165+CB165+CE165+CH165+DG165</f>
        <v>3.7</v>
      </c>
      <c r="CJ165" s="54"/>
      <c r="CK165" s="21">
        <f>MastLength*circMast*0.5</f>
        <v>0</v>
      </c>
      <c r="CL165" s="55"/>
      <c r="CM165" s="55"/>
      <c r="CN165" s="60"/>
      <c r="CO165" s="55"/>
      <c r="CP165" s="55"/>
      <c r="CQ165" s="55"/>
      <c r="CR165" s="55"/>
      <c r="CS165" s="55"/>
      <c r="CT165" s="55"/>
      <c r="CU165" s="55"/>
      <c r="CV165" s="55"/>
      <c r="CW165" s="55"/>
      <c r="CX165" s="55"/>
      <c r="CY165" s="21">
        <f>(CT165+4*CU165+2*CV165+4*CW165+CX165)*AN165/12</f>
        <v>0</v>
      </c>
      <c r="CZ165" s="56"/>
      <c r="DA165" s="56"/>
      <c r="DB165" s="56"/>
      <c r="DC165" s="56"/>
      <c r="DD165" s="61">
        <f>IF(CZ165,DC165/CZ165,smg_sf_no_details)</f>
        <v>0</v>
      </c>
      <c r="DE165" s="21">
        <f>IF(CZ165,CZ165*(DA165+DB165)/4+(DC165-CZ165/2)*(DA165+DB165)/3,sas_no_details)</f>
        <v>17.5</v>
      </c>
      <c r="DF165" s="55">
        <v>15</v>
      </c>
      <c r="DG165" s="55">
        <v>3.7</v>
      </c>
      <c r="DH165" s="55">
        <v>5.64</v>
      </c>
      <c r="DI165" s="55">
        <v>17.5</v>
      </c>
      <c r="DJ165" s="104"/>
      <c r="DK165" s="53" t="s">
        <v>129</v>
      </c>
      <c r="DM165" s="58">
        <f t="shared" si="205"/>
        <v>763.78092241919978</v>
      </c>
      <c r="DN165" s="58">
        <f>IF(wsex,0.5*wsex*width+(rwex-wsex)*width+trapeze*(rwex-wsex)/crew,0.5*(wsin-6)*width+(rwin-wsin)*width+trapeze*(rwin-wsin)/crew)</f>
        <v>671.25</v>
      </c>
      <c r="DO165" s="21">
        <f>righting/heeling</f>
        <v>0.8788514877720206</v>
      </c>
      <c r="DP165" s="62">
        <f t="shared" si="244"/>
        <v>1.014306703795635</v>
      </c>
      <c r="DQ165" s="7" t="s">
        <v>130</v>
      </c>
      <c r="DR165" s="107" t="str">
        <f t="shared" si="206"/>
        <v>yes</v>
      </c>
    </row>
    <row r="166" spans="1:244" ht="12.75" customHeight="1" x14ac:dyDescent="0.2">
      <c r="A166" s="53" t="s">
        <v>567</v>
      </c>
      <c r="B166" s="54">
        <v>1</v>
      </c>
      <c r="C166" s="92">
        <f t="shared" si="207"/>
        <v>107.99246274269538</v>
      </c>
      <c r="D166" s="92">
        <f t="shared" si="208"/>
        <v>102.88738028662762</v>
      </c>
      <c r="E166" s="92">
        <f>VLOOKUP(A166,[3]TRTOTAL!$A$7:$D$313,3,FALSE)</f>
        <v>109.77353999116747</v>
      </c>
      <c r="F166" s="92">
        <f>VLOOKUP(A166,[3]TRTOTAL!$A$7:$D$313,4,FALSE)</f>
        <v>104.35835150331691</v>
      </c>
      <c r="G166" s="92">
        <f t="shared" si="209"/>
        <v>-1.7810772484720871</v>
      </c>
      <c r="H166" s="92">
        <f t="shared" si="210"/>
        <v>-1.4709712166892928</v>
      </c>
      <c r="I166" s="54">
        <v>5</v>
      </c>
      <c r="J166" s="56">
        <v>5</v>
      </c>
      <c r="K166" s="54">
        <v>2.5</v>
      </c>
      <c r="L166" s="57">
        <v>1</v>
      </c>
      <c r="M166" s="57"/>
      <c r="N166" s="57">
        <v>119</v>
      </c>
      <c r="O166" s="87"/>
      <c r="P166" s="24">
        <f t="shared" si="228"/>
        <v>15</v>
      </c>
      <c r="Q166" s="24">
        <f t="shared" si="245"/>
        <v>8.48</v>
      </c>
      <c r="R166" s="24">
        <f t="shared" si="229"/>
        <v>0</v>
      </c>
      <c r="S166" s="87">
        <v>8.5</v>
      </c>
      <c r="T166" s="21">
        <f t="shared" si="230"/>
        <v>0</v>
      </c>
      <c r="U166" s="21"/>
      <c r="V166" s="24">
        <f t="shared" si="231"/>
        <v>2.06</v>
      </c>
      <c r="W166" s="24">
        <f t="shared" si="232"/>
        <v>2.2200000000000002</v>
      </c>
      <c r="X166" s="24">
        <f t="shared" si="233"/>
        <v>3.0435841246652053</v>
      </c>
      <c r="Y166" s="25">
        <f t="shared" si="223"/>
        <v>1</v>
      </c>
      <c r="Z166" s="24">
        <f t="shared" si="211"/>
        <v>14.034005900949326</v>
      </c>
      <c r="AA166" s="21">
        <f t="shared" si="234"/>
        <v>0</v>
      </c>
      <c r="AB166" s="24">
        <f t="shared" si="212"/>
        <v>0</v>
      </c>
      <c r="AC166" s="24">
        <f t="shared" si="225"/>
        <v>16.659005900949325</v>
      </c>
      <c r="AD166" s="58">
        <f t="shared" si="235"/>
        <v>188</v>
      </c>
      <c r="AE166" s="58">
        <f t="shared" si="236"/>
        <v>194</v>
      </c>
      <c r="AF166" s="21">
        <f t="shared" si="213"/>
        <v>2.625</v>
      </c>
      <c r="AG166" s="77">
        <f t="shared" si="214"/>
        <v>0</v>
      </c>
      <c r="AH166" s="114">
        <f t="shared" si="224"/>
        <v>1</v>
      </c>
      <c r="AI166" s="59">
        <f t="shared" si="215"/>
        <v>102.29155895356428</v>
      </c>
      <c r="AJ166" s="59">
        <f t="shared" si="216"/>
        <v>96.491062311250758</v>
      </c>
      <c r="AK166" s="55"/>
      <c r="AL166" s="55">
        <v>2.06</v>
      </c>
      <c r="AM166" s="21">
        <f t="shared" si="237"/>
        <v>0</v>
      </c>
      <c r="AN166" s="55">
        <v>8.48</v>
      </c>
      <c r="AO166" s="55"/>
      <c r="AP166" s="21">
        <f t="shared" si="186"/>
        <v>0</v>
      </c>
      <c r="AQ166" s="55"/>
      <c r="AR166" s="55">
        <v>0</v>
      </c>
      <c r="AS166" s="21">
        <f t="shared" si="187"/>
        <v>0</v>
      </c>
      <c r="AT166" s="54"/>
      <c r="AU166" s="54"/>
      <c r="AV166" s="21">
        <f t="shared" si="188"/>
        <v>0</v>
      </c>
      <c r="AW166" s="54"/>
      <c r="AX166" s="54"/>
      <c r="AY166" s="21">
        <f t="shared" si="189"/>
        <v>0</v>
      </c>
      <c r="AZ166" s="54"/>
      <c r="BA166" s="54"/>
      <c r="BB166" s="21">
        <f t="shared" si="190"/>
        <v>0</v>
      </c>
      <c r="BC166" s="54"/>
      <c r="BD166" s="54"/>
      <c r="BE166" s="21">
        <f t="shared" si="191"/>
        <v>0</v>
      </c>
      <c r="BF166" s="55"/>
      <c r="BG166" s="55"/>
      <c r="BH166" s="21">
        <f t="shared" si="192"/>
        <v>0</v>
      </c>
      <c r="BI166" s="55"/>
      <c r="BJ166" s="55"/>
      <c r="BK166" s="21">
        <f t="shared" si="193"/>
        <v>0</v>
      </c>
      <c r="BL166" s="55"/>
      <c r="BM166" s="55"/>
      <c r="BN166" s="21">
        <f t="shared" si="194"/>
        <v>0</v>
      </c>
      <c r="BO166" s="55"/>
      <c r="BP166" s="55"/>
      <c r="BQ166" s="21">
        <f t="shared" si="195"/>
        <v>0</v>
      </c>
      <c r="BR166" s="55"/>
      <c r="BS166" s="21">
        <f t="shared" si="238"/>
        <v>0</v>
      </c>
      <c r="BT166" s="56">
        <v>0</v>
      </c>
      <c r="BU166" s="56"/>
      <c r="BV166" s="21">
        <f t="shared" si="239"/>
        <v>0</v>
      </c>
      <c r="BW166" s="77">
        <f t="shared" si="217"/>
        <v>0</v>
      </c>
      <c r="BX166" s="55"/>
      <c r="BY166" s="21">
        <f t="shared" si="240"/>
        <v>0</v>
      </c>
      <c r="BZ166" s="55"/>
      <c r="CA166" s="55"/>
      <c r="CB166" s="21">
        <f t="shared" si="226"/>
        <v>0</v>
      </c>
      <c r="CC166" s="55"/>
      <c r="CD166" s="55"/>
      <c r="CE166" s="21">
        <f t="shared" si="227"/>
        <v>0</v>
      </c>
      <c r="CF166" s="21"/>
      <c r="CG166" s="21"/>
      <c r="CH166" s="21">
        <f t="shared" si="218"/>
        <v>0</v>
      </c>
      <c r="CI166" s="25">
        <f t="shared" si="219"/>
        <v>0</v>
      </c>
      <c r="CJ166" s="54"/>
      <c r="CK166" s="21">
        <f t="shared" ref="CK166:CK178" si="246">MastLength*circMast*0.5</f>
        <v>0</v>
      </c>
      <c r="CL166" s="55"/>
      <c r="CM166" s="55"/>
      <c r="CN166" s="60"/>
      <c r="CO166" s="55"/>
      <c r="CP166" s="55"/>
      <c r="CQ166" s="55"/>
      <c r="CR166" s="55"/>
      <c r="CS166" s="55"/>
      <c r="CT166" s="55"/>
      <c r="CU166" s="55"/>
      <c r="CV166" s="55"/>
      <c r="CW166" s="55"/>
      <c r="CX166" s="55"/>
      <c r="CY166" s="21">
        <f t="shared" si="241"/>
        <v>0</v>
      </c>
      <c r="CZ166" s="56"/>
      <c r="DA166" s="56"/>
      <c r="DB166" s="56"/>
      <c r="DC166" s="56"/>
      <c r="DD166" s="61">
        <f t="shared" si="221"/>
        <v>0</v>
      </c>
      <c r="DE166" s="21">
        <f t="shared" si="222"/>
        <v>17.5</v>
      </c>
      <c r="DF166" s="55">
        <v>15</v>
      </c>
      <c r="DG166" s="55"/>
      <c r="DH166" s="55"/>
      <c r="DI166" s="55">
        <v>17.5</v>
      </c>
      <c r="DJ166" s="104"/>
      <c r="DK166" s="53" t="s">
        <v>129</v>
      </c>
      <c r="DM166" s="58">
        <f t="shared" si="205"/>
        <v>661.05349631999991</v>
      </c>
      <c r="DN166" s="58">
        <f t="shared" si="242"/>
        <v>403.75</v>
      </c>
      <c r="DO166" s="21">
        <f t="shared" si="243"/>
        <v>0.61076751314019895</v>
      </c>
      <c r="DP166" s="62">
        <f t="shared" si="244"/>
        <v>1.0557319083554007</v>
      </c>
      <c r="DQ166" s="7" t="s">
        <v>130</v>
      </c>
      <c r="DR166" s="107" t="str">
        <f t="shared" si="206"/>
        <v>yes</v>
      </c>
    </row>
    <row r="167" spans="1:244" ht="12.75" customHeight="1" x14ac:dyDescent="0.2">
      <c r="A167" s="53" t="s">
        <v>587</v>
      </c>
      <c r="B167" s="54">
        <v>1</v>
      </c>
      <c r="C167" s="92">
        <f>AI167*PowerFactor</f>
        <v>101.31886177814434</v>
      </c>
      <c r="D167" s="92">
        <f>AJ167*PowerFactor*IF(crew=1,1.01,1)</f>
        <v>98.560291954596025</v>
      </c>
      <c r="E167" s="92" t="e">
        <f>VLOOKUP(A167,[3]TRTOTAL!$A$7:$D$313,3,FALSE)</f>
        <v>#N/A</v>
      </c>
      <c r="F167" s="92" t="e">
        <f>VLOOKUP(A167,[3]TRTOTAL!$A$7:$D$313,4,FALSE)</f>
        <v>#N/A</v>
      </c>
      <c r="G167" s="92" t="e">
        <f t="shared" si="209"/>
        <v>#N/A</v>
      </c>
      <c r="H167" s="92" t="e">
        <f t="shared" si="210"/>
        <v>#N/A</v>
      </c>
      <c r="I167" s="54">
        <v>5</v>
      </c>
      <c r="J167" s="56">
        <v>5</v>
      </c>
      <c r="K167" s="54">
        <v>2.5</v>
      </c>
      <c r="L167" s="57">
        <v>1</v>
      </c>
      <c r="M167" s="57"/>
      <c r="N167" s="57">
        <v>123</v>
      </c>
      <c r="O167" s="87"/>
      <c r="P167" s="24">
        <f t="shared" si="228"/>
        <v>15</v>
      </c>
      <c r="Q167" s="24">
        <f t="shared" si="245"/>
        <v>8.48</v>
      </c>
      <c r="R167" s="24">
        <f>CI167</f>
        <v>3.7</v>
      </c>
      <c r="S167" s="87">
        <v>8.5</v>
      </c>
      <c r="T167" s="21">
        <f t="shared" si="230"/>
        <v>5.64</v>
      </c>
      <c r="U167" s="21"/>
      <c r="V167" s="24">
        <f>IF(e_sp,e_sp,(IF(mfoot,MAX(CU167:CX167),IF(mainh1,mainh1,vlm*0.3))))</f>
        <v>2.06</v>
      </c>
      <c r="W167" s="24">
        <f>IF(circMast,circMast/2,0.16)+V167</f>
        <v>2.2200000000000002</v>
      </c>
      <c r="X167" s="24">
        <f t="shared" si="233"/>
        <v>3.0435841246652053</v>
      </c>
      <c r="Y167" s="25">
        <f t="shared" si="223"/>
        <v>1</v>
      </c>
      <c r="Z167" s="24">
        <f>0.67*X167^0.3*msam*Y167</f>
        <v>14.034005900949326</v>
      </c>
      <c r="AA167" s="21">
        <f t="shared" si="234"/>
        <v>0</v>
      </c>
      <c r="AB167" s="24">
        <f>IF(AA167,0.72*AA167^0.3*msag,IF(msag,0.9*msag,0))</f>
        <v>3.33</v>
      </c>
      <c r="AC167" s="24">
        <f t="shared" si="225"/>
        <v>19.556105900949326</v>
      </c>
      <c r="AD167" s="58">
        <f t="shared" si="235"/>
        <v>192</v>
      </c>
      <c r="AE167" s="58">
        <f t="shared" si="236"/>
        <v>198</v>
      </c>
      <c r="AF167" s="21">
        <f t="shared" si="213"/>
        <v>2.625</v>
      </c>
      <c r="AG167" s="77">
        <f t="shared" si="214"/>
        <v>0</v>
      </c>
      <c r="AH167" s="114">
        <f t="shared" si="224"/>
        <v>1</v>
      </c>
      <c r="AI167" s="59">
        <f t="shared" si="215"/>
        <v>94.58539628965211</v>
      </c>
      <c r="AJ167" s="59">
        <f t="shared" si="216"/>
        <v>91.09916430757292</v>
      </c>
      <c r="AK167" s="55"/>
      <c r="AL167" s="55">
        <v>2.06</v>
      </c>
      <c r="AM167" s="21">
        <f>AK167*AL167*0.5</f>
        <v>0</v>
      </c>
      <c r="AN167" s="55">
        <v>8.48</v>
      </c>
      <c r="AO167" s="55"/>
      <c r="AP167" s="21">
        <f>AN167*AO167*2/3</f>
        <v>0</v>
      </c>
      <c r="AQ167" s="55"/>
      <c r="AR167" s="55">
        <v>0</v>
      </c>
      <c r="AS167" s="21">
        <f>AQ167*AR167*2/3</f>
        <v>0</v>
      </c>
      <c r="AT167" s="54"/>
      <c r="AU167" s="54"/>
      <c r="AV167" s="21">
        <f>AT167*AU167*0.5</f>
        <v>0</v>
      </c>
      <c r="AW167" s="54"/>
      <c r="AX167" s="54"/>
      <c r="AY167" s="21">
        <f>AW167*AX167*0.5</f>
        <v>0</v>
      </c>
      <c r="AZ167" s="54"/>
      <c r="BA167" s="54"/>
      <c r="BB167" s="21">
        <f>AZ167*BA167*2/3</f>
        <v>0</v>
      </c>
      <c r="BC167" s="54"/>
      <c r="BD167" s="54"/>
      <c r="BE167" s="21">
        <f>BC167*BD167*2/3</f>
        <v>0</v>
      </c>
      <c r="BF167" s="55"/>
      <c r="BG167" s="55"/>
      <c r="BH167" s="21">
        <f>BF167*BG167*0.5</f>
        <v>0</v>
      </c>
      <c r="BI167" s="55"/>
      <c r="BJ167" s="55"/>
      <c r="BK167" s="21">
        <f>BI167*BJ167*2/3</f>
        <v>0</v>
      </c>
      <c r="BL167" s="55"/>
      <c r="BM167" s="55"/>
      <c r="BN167" s="21">
        <f>BL167*BM167*0.5</f>
        <v>0</v>
      </c>
      <c r="BO167" s="55"/>
      <c r="BP167" s="55"/>
      <c r="BQ167" s="21">
        <f>BO167*BP167*0.5</f>
        <v>0</v>
      </c>
      <c r="BR167" s="55"/>
      <c r="BS167" s="21">
        <f>AM167+AP167+AS167+AV167+AY167+BB167+BE167+BH167+BK167+BN167+BQ167</f>
        <v>0</v>
      </c>
      <c r="BT167" s="56">
        <v>0</v>
      </c>
      <c r="BU167" s="56"/>
      <c r="BV167" s="21">
        <f>BT167*BU167*0.5</f>
        <v>0</v>
      </c>
      <c r="BW167" s="77">
        <f>BT167-CF167</f>
        <v>0</v>
      </c>
      <c r="BX167" s="55"/>
      <c r="BY167" s="21">
        <f>BW167*BX167*2/3</f>
        <v>0</v>
      </c>
      <c r="BZ167" s="55"/>
      <c r="CA167" s="55"/>
      <c r="CB167" s="21">
        <f>BZ167*CA167*2/3</f>
        <v>0</v>
      </c>
      <c r="CC167" s="54"/>
      <c r="CD167" s="54"/>
      <c r="CE167" s="21">
        <f>CC167*CD167*2/3</f>
        <v>0</v>
      </c>
      <c r="CF167" s="21"/>
      <c r="CG167" s="21"/>
      <c r="CH167" s="21">
        <f>CF167*CG167*0.5</f>
        <v>0</v>
      </c>
      <c r="CI167" s="25">
        <f>BV167+BY167+CB167+CE167+CH167+DG167</f>
        <v>3.7</v>
      </c>
      <c r="CJ167" s="54"/>
      <c r="CK167" s="21">
        <f t="shared" si="246"/>
        <v>0</v>
      </c>
      <c r="CL167" s="55"/>
      <c r="CM167" s="55"/>
      <c r="CN167" s="60"/>
      <c r="CO167" s="55"/>
      <c r="CP167" s="55"/>
      <c r="CQ167" s="55"/>
      <c r="CR167" s="55"/>
      <c r="CS167" s="55"/>
      <c r="CT167" s="55"/>
      <c r="CU167" s="55"/>
      <c r="CV167" s="55"/>
      <c r="CW167" s="55"/>
      <c r="CX167" s="55"/>
      <c r="CY167" s="21">
        <f>(CT167+4*CU167+2*CV167+4*CW167+CX167)*AN167/12</f>
        <v>0</v>
      </c>
      <c r="CZ167" s="56"/>
      <c r="DA167" s="56"/>
      <c r="DB167" s="56"/>
      <c r="DC167" s="56"/>
      <c r="DD167" s="61">
        <f>IF(CZ167,DC167/CZ167,smg_sf_no_details)</f>
        <v>0</v>
      </c>
      <c r="DE167" s="21">
        <f>IF(CZ167,CZ167*(DA167+DB167)/4+(DC167-CZ167/2)*(DA167+DB167)/3,sas_no_details)</f>
        <v>17.5</v>
      </c>
      <c r="DF167" s="55">
        <v>15</v>
      </c>
      <c r="DG167" s="55">
        <v>3.7</v>
      </c>
      <c r="DH167" s="55">
        <v>5.64</v>
      </c>
      <c r="DI167" s="55">
        <v>17.5</v>
      </c>
      <c r="DJ167" s="104"/>
      <c r="DK167" s="53" t="s">
        <v>248</v>
      </c>
      <c r="DM167" s="58">
        <f t="shared" si="205"/>
        <v>763.78092241919978</v>
      </c>
      <c r="DN167" s="58">
        <f t="shared" si="242"/>
        <v>408.75</v>
      </c>
      <c r="DO167" s="21">
        <f t="shared" si="243"/>
        <v>0.5351665484198338</v>
      </c>
      <c r="DP167" s="62">
        <f>IF((1/DO167)^$DP$5&lt;1,1,(1/DO167)^$DP$5)</f>
        <v>1.0711892718393028</v>
      </c>
      <c r="DQ167" s="7" t="s">
        <v>130</v>
      </c>
      <c r="DR167" s="107" t="str">
        <f t="shared" si="206"/>
        <v>yes</v>
      </c>
    </row>
    <row r="168" spans="1:244" ht="12.75" customHeight="1" x14ac:dyDescent="0.2">
      <c r="A168" s="53" t="s">
        <v>566</v>
      </c>
      <c r="B168" s="54">
        <v>1</v>
      </c>
      <c r="C168" s="92">
        <f>AI168*PowerFactor</f>
        <v>106.37257580155496</v>
      </c>
      <c r="D168" s="92">
        <f>AJ168*PowerFactor*IF(crew=1,1.01,1)</f>
        <v>101.34406958232819</v>
      </c>
      <c r="E168" s="92">
        <f>VLOOKUP(A168,[3]TRTOTAL!$A$7:$D$313,3,FALSE)</f>
        <v>107.72427351366909</v>
      </c>
      <c r="F168" s="92">
        <f>VLOOKUP(A168,[3]TRTOTAL!$A$7:$D$313,4,FALSE)</f>
        <v>102.41017645676244</v>
      </c>
      <c r="G168" s="92">
        <f>C168-E168</f>
        <v>-1.3516977121141309</v>
      </c>
      <c r="H168" s="92">
        <f>D168-F168</f>
        <v>-1.0661068744342543</v>
      </c>
      <c r="I168" s="54">
        <v>5</v>
      </c>
      <c r="J168" s="56">
        <v>5</v>
      </c>
      <c r="K168" s="54">
        <v>2.5</v>
      </c>
      <c r="L168" s="57">
        <v>1</v>
      </c>
      <c r="M168" s="57"/>
      <c r="N168" s="57">
        <v>119</v>
      </c>
      <c r="O168" s="21" t="s">
        <v>602</v>
      </c>
      <c r="P168" s="24">
        <f t="shared" si="228"/>
        <v>15</v>
      </c>
      <c r="Q168" s="24">
        <f t="shared" si="245"/>
        <v>8.48</v>
      </c>
      <c r="R168" s="24">
        <f>CI168</f>
        <v>0</v>
      </c>
      <c r="S168" s="87">
        <v>8.5</v>
      </c>
      <c r="T168" s="21">
        <f t="shared" si="230"/>
        <v>0</v>
      </c>
      <c r="U168" s="21"/>
      <c r="V168" s="24">
        <f>IF(e_sp,e_sp,(IF(mfoot,MAX(CU168:CX168),IF(mainh1,mainh1,vlm*0.3))))</f>
        <v>2.06</v>
      </c>
      <c r="W168" s="24">
        <f>IF(circMast,circMast/2,0.16)+V168</f>
        <v>2.2200000000000002</v>
      </c>
      <c r="X168" s="24">
        <f t="shared" si="233"/>
        <v>3.0435841246652053</v>
      </c>
      <c r="Y168" s="25">
        <f t="shared" si="223"/>
        <v>1</v>
      </c>
      <c r="Z168" s="24">
        <f>0.67*X168^0.3*msam*Y168</f>
        <v>14.034005900949326</v>
      </c>
      <c r="AA168" s="21">
        <f t="shared" si="234"/>
        <v>0</v>
      </c>
      <c r="AB168" s="24">
        <f>IF(AA168,0.72*AA168^0.3*msag,IF(msag,0.9*msag,0))</f>
        <v>0</v>
      </c>
      <c r="AC168" s="24">
        <f t="shared" si="225"/>
        <v>16.659005900949325</v>
      </c>
      <c r="AD168" s="58">
        <f t="shared" si="235"/>
        <v>188</v>
      </c>
      <c r="AE168" s="58">
        <f t="shared" si="236"/>
        <v>194</v>
      </c>
      <c r="AF168" s="21">
        <f t="shared" si="213"/>
        <v>2.625</v>
      </c>
      <c r="AG168" s="77">
        <f t="shared" si="214"/>
        <v>0</v>
      </c>
      <c r="AH168" s="114">
        <f t="shared" si="224"/>
        <v>0.98499999999999999</v>
      </c>
      <c r="AI168" s="59">
        <f t="shared" si="215"/>
        <v>100.75718556926081</v>
      </c>
      <c r="AJ168" s="59">
        <f t="shared" si="216"/>
        <v>95.043696376581991</v>
      </c>
      <c r="AK168" s="55"/>
      <c r="AL168" s="55">
        <v>2.06</v>
      </c>
      <c r="AM168" s="21">
        <f>AK168*AL168*0.5</f>
        <v>0</v>
      </c>
      <c r="AN168" s="55">
        <v>8.48</v>
      </c>
      <c r="AO168" s="55"/>
      <c r="AP168" s="21">
        <f>AN168*AO168*2/3</f>
        <v>0</v>
      </c>
      <c r="AQ168" s="55"/>
      <c r="AR168" s="55">
        <v>0</v>
      </c>
      <c r="AS168" s="21">
        <f>AQ168*AR168*2/3</f>
        <v>0</v>
      </c>
      <c r="AT168" s="54"/>
      <c r="AU168" s="54"/>
      <c r="AV168" s="21">
        <f>AT168*AU168*0.5</f>
        <v>0</v>
      </c>
      <c r="AW168" s="54"/>
      <c r="AX168" s="54"/>
      <c r="AY168" s="21">
        <f>AW168*AX168*0.5</f>
        <v>0</v>
      </c>
      <c r="AZ168" s="54"/>
      <c r="BA168" s="54"/>
      <c r="BB168" s="21">
        <f>AZ168*BA168*2/3</f>
        <v>0</v>
      </c>
      <c r="BC168" s="54"/>
      <c r="BD168" s="54"/>
      <c r="BE168" s="21">
        <f>BC168*BD168*2/3</f>
        <v>0</v>
      </c>
      <c r="BF168" s="55"/>
      <c r="BG168" s="55"/>
      <c r="BH168" s="21">
        <f>BF168*BG168*0.5</f>
        <v>0</v>
      </c>
      <c r="BI168" s="55"/>
      <c r="BJ168" s="55"/>
      <c r="BK168" s="21">
        <f>BI168*BJ168*2/3</f>
        <v>0</v>
      </c>
      <c r="BL168" s="55"/>
      <c r="BM168" s="55"/>
      <c r="BN168" s="21">
        <f>BL168*BM168*0.5</f>
        <v>0</v>
      </c>
      <c r="BO168" s="55"/>
      <c r="BP168" s="55"/>
      <c r="BQ168" s="21">
        <f>BO168*BP168*0.5</f>
        <v>0</v>
      </c>
      <c r="BR168" s="55"/>
      <c r="BS168" s="21">
        <f>AM168+AP168+AS168+AV168+AY168+BB168+BE168+BH168+BK168+BN168+BQ168</f>
        <v>0</v>
      </c>
      <c r="BT168" s="56">
        <v>0</v>
      </c>
      <c r="BU168" s="56"/>
      <c r="BV168" s="21">
        <f>BT168*BU168*0.5</f>
        <v>0</v>
      </c>
      <c r="BW168" s="77">
        <f>BT168-CF168</f>
        <v>0</v>
      </c>
      <c r="BX168" s="55"/>
      <c r="BY168" s="21">
        <f>BW168*BX168*2/3</f>
        <v>0</v>
      </c>
      <c r="BZ168" s="55"/>
      <c r="CA168" s="55"/>
      <c r="CB168" s="21">
        <f>BZ168*CA168*2/3</f>
        <v>0</v>
      </c>
      <c r="CC168" s="55"/>
      <c r="CD168" s="55"/>
      <c r="CE168" s="21">
        <f>CC168*CD168*2/3</f>
        <v>0</v>
      </c>
      <c r="CF168" s="21"/>
      <c r="CG168" s="21"/>
      <c r="CH168" s="21">
        <f>CF168*CG168*0.5</f>
        <v>0</v>
      </c>
      <c r="CI168" s="25">
        <f>BV168+BY168+CB168+CE168+CH168+DG168</f>
        <v>0</v>
      </c>
      <c r="CJ168" s="54"/>
      <c r="CK168" s="21">
        <f t="shared" si="246"/>
        <v>0</v>
      </c>
      <c r="CL168" s="55"/>
      <c r="CM168" s="55"/>
      <c r="CN168" s="60"/>
      <c r="CO168" s="55"/>
      <c r="CP168" s="55"/>
      <c r="CQ168" s="55"/>
      <c r="CR168" s="55"/>
      <c r="CS168" s="55"/>
      <c r="CT168" s="55"/>
      <c r="CU168" s="55"/>
      <c r="CV168" s="55"/>
      <c r="CW168" s="55"/>
      <c r="CX168" s="55"/>
      <c r="CY168" s="21">
        <f>(CT168+4*CU168+2*CV168+4*CW168+CX168)*AN168/12</f>
        <v>0</v>
      </c>
      <c r="CZ168" s="56"/>
      <c r="DA168" s="56"/>
      <c r="DB168" s="56"/>
      <c r="DC168" s="56"/>
      <c r="DD168" s="61">
        <f>IF(CZ168,DC168/CZ168,smg_sf_no_details)</f>
        <v>0</v>
      </c>
      <c r="DE168" s="21">
        <f>IF(CZ168,CZ168*(DA168+DB168)/4+(DC168-CZ168/2)*(DA168+DB168)/3,sas_no_details)</f>
        <v>17.5</v>
      </c>
      <c r="DF168" s="55">
        <v>15</v>
      </c>
      <c r="DG168" s="55"/>
      <c r="DH168" s="55"/>
      <c r="DI168" s="55">
        <v>17.5</v>
      </c>
      <c r="DJ168" s="104"/>
      <c r="DK168" s="53" t="s">
        <v>129</v>
      </c>
      <c r="DM168" s="58">
        <f t="shared" si="205"/>
        <v>661.05349631999991</v>
      </c>
      <c r="DN168" s="58">
        <f t="shared" si="242"/>
        <v>403.75</v>
      </c>
      <c r="DO168" s="21">
        <f t="shared" si="243"/>
        <v>0.61076751314019895</v>
      </c>
      <c r="DP168" s="62">
        <f>IF((1/DO168)^$DP$5&lt;1,1,(1/DO168)^$DP$5)</f>
        <v>1.0557319083554007</v>
      </c>
      <c r="DQ168" s="7" t="s">
        <v>130</v>
      </c>
      <c r="DR168" s="107" t="str">
        <f t="shared" si="206"/>
        <v>yes</v>
      </c>
    </row>
    <row r="169" spans="1:244" ht="12.75" customHeight="1" x14ac:dyDescent="0.2">
      <c r="A169" s="53" t="s">
        <v>355</v>
      </c>
      <c r="B169" s="54">
        <v>1</v>
      </c>
      <c r="C169" s="92">
        <f t="shared" ref="C169:C198" si="247">AI169*PowerFactor</f>
        <v>121.42513110404546</v>
      </c>
      <c r="D169" s="92">
        <f t="shared" ref="D169:D198" si="248">AJ169*PowerFactor*IF(crew=1,1.01,1)</f>
        <v>114.26627988816517</v>
      </c>
      <c r="E169" s="92">
        <f>VLOOKUP(A169,[3]TRTOTAL!$A$7:$D$313,3,FALSE)</f>
        <v>121.42513110404546</v>
      </c>
      <c r="F169" s="92">
        <f>VLOOKUP(A169,[3]TRTOTAL!$A$7:$D$313,4,FALSE)</f>
        <v>114.26627988816517</v>
      </c>
      <c r="G169" s="92">
        <f t="shared" si="209"/>
        <v>0</v>
      </c>
      <c r="H169" s="92">
        <f t="shared" si="210"/>
        <v>0</v>
      </c>
      <c r="I169" s="54">
        <v>5.04</v>
      </c>
      <c r="J169" s="56">
        <v>4.92</v>
      </c>
      <c r="K169" s="54">
        <v>2.4</v>
      </c>
      <c r="L169" s="57">
        <v>1</v>
      </c>
      <c r="M169" s="57">
        <v>147</v>
      </c>
      <c r="N169" s="57"/>
      <c r="O169" s="87"/>
      <c r="P169" s="24">
        <f t="shared" si="228"/>
        <v>14</v>
      </c>
      <c r="Q169" s="24">
        <f t="shared" si="245"/>
        <v>8.1999999999999993</v>
      </c>
      <c r="R169" s="24">
        <f t="shared" ref="R169:R191" si="249">CI169</f>
        <v>0</v>
      </c>
      <c r="S169" s="87">
        <v>8.6</v>
      </c>
      <c r="T169" s="21">
        <f t="shared" si="230"/>
        <v>0</v>
      </c>
      <c r="U169" s="21"/>
      <c r="V169" s="24">
        <f t="shared" ref="V169:V191" si="250">IF(e_sp,e_sp,(IF(mfoot,MAX(CU169:CX169),IF(mainh1,mainh1,vlm*0.3))))</f>
        <v>2.4599999999999995</v>
      </c>
      <c r="W169" s="24">
        <f t="shared" si="232"/>
        <v>2.6199999999999997</v>
      </c>
      <c r="X169" s="24">
        <f t="shared" si="233"/>
        <v>2.0395081871685803</v>
      </c>
      <c r="Y169" s="25">
        <f t="shared" si="223"/>
        <v>1</v>
      </c>
      <c r="Z169" s="24">
        <f t="shared" si="211"/>
        <v>11.616103535686939</v>
      </c>
      <c r="AA169" s="21">
        <f t="shared" si="234"/>
        <v>0</v>
      </c>
      <c r="AB169" s="24">
        <f t="shared" si="212"/>
        <v>0</v>
      </c>
      <c r="AC169" s="24">
        <f t="shared" si="225"/>
        <v>14.16610353568694</v>
      </c>
      <c r="AD169" s="58">
        <f t="shared" si="235"/>
        <v>222</v>
      </c>
      <c r="AE169" s="58">
        <f t="shared" si="236"/>
        <v>228</v>
      </c>
      <c r="AF169" s="21">
        <f t="shared" si="213"/>
        <v>2.5499999999999998</v>
      </c>
      <c r="AG169" s="77">
        <f t="shared" si="214"/>
        <v>0</v>
      </c>
      <c r="AH169" s="114">
        <f t="shared" si="224"/>
        <v>1</v>
      </c>
      <c r="AI169" s="59">
        <f t="shared" si="215"/>
        <v>117.01813058702369</v>
      </c>
      <c r="AJ169" s="59">
        <f t="shared" si="216"/>
        <v>109.02881438517348</v>
      </c>
      <c r="AK169" s="55"/>
      <c r="AL169" s="55"/>
      <c r="AM169" s="21">
        <f t="shared" si="237"/>
        <v>0</v>
      </c>
      <c r="AN169" s="54">
        <v>8.1999999999999993</v>
      </c>
      <c r="AO169" s="55"/>
      <c r="AP169" s="21">
        <f t="shared" si="186"/>
        <v>0</v>
      </c>
      <c r="AQ169" s="55"/>
      <c r="AR169" s="55"/>
      <c r="AS169" s="21">
        <f t="shared" si="187"/>
        <v>0</v>
      </c>
      <c r="AT169" s="54"/>
      <c r="AU169" s="54"/>
      <c r="AV169" s="21">
        <f t="shared" si="188"/>
        <v>0</v>
      </c>
      <c r="AW169" s="54"/>
      <c r="AX169" s="54"/>
      <c r="AY169" s="21">
        <f t="shared" si="189"/>
        <v>0</v>
      </c>
      <c r="AZ169" s="54"/>
      <c r="BA169" s="54"/>
      <c r="BB169" s="21">
        <f t="shared" si="190"/>
        <v>0</v>
      </c>
      <c r="BC169" s="54"/>
      <c r="BD169" s="54"/>
      <c r="BE169" s="21">
        <f t="shared" si="191"/>
        <v>0</v>
      </c>
      <c r="BF169" s="55"/>
      <c r="BG169" s="55"/>
      <c r="BH169" s="21">
        <f t="shared" si="192"/>
        <v>0</v>
      </c>
      <c r="BI169" s="55"/>
      <c r="BJ169" s="55"/>
      <c r="BK169" s="21">
        <f t="shared" si="193"/>
        <v>0</v>
      </c>
      <c r="BL169" s="55"/>
      <c r="BM169" s="55"/>
      <c r="BN169" s="21">
        <f t="shared" si="194"/>
        <v>0</v>
      </c>
      <c r="BO169" s="55"/>
      <c r="BP169" s="55"/>
      <c r="BQ169" s="21">
        <f t="shared" si="195"/>
        <v>0</v>
      </c>
      <c r="BR169" s="55"/>
      <c r="BS169" s="21">
        <f t="shared" si="238"/>
        <v>0</v>
      </c>
      <c r="BT169" s="56">
        <v>0</v>
      </c>
      <c r="BU169" s="56"/>
      <c r="BV169" s="21">
        <f t="shared" si="239"/>
        <v>0</v>
      </c>
      <c r="BW169" s="77">
        <f t="shared" si="217"/>
        <v>0</v>
      </c>
      <c r="BX169" s="55"/>
      <c r="BY169" s="21">
        <f t="shared" si="240"/>
        <v>0</v>
      </c>
      <c r="BZ169" s="55"/>
      <c r="CA169" s="55"/>
      <c r="CB169" s="21">
        <f t="shared" si="226"/>
        <v>0</v>
      </c>
      <c r="CC169" s="54"/>
      <c r="CD169" s="54"/>
      <c r="CE169" s="21">
        <f t="shared" si="227"/>
        <v>0</v>
      </c>
      <c r="CF169" s="21"/>
      <c r="CG169" s="21"/>
      <c r="CH169" s="21">
        <f t="shared" si="218"/>
        <v>0</v>
      </c>
      <c r="CI169" s="25">
        <f t="shared" si="219"/>
        <v>0</v>
      </c>
      <c r="CJ169" s="54"/>
      <c r="CK169" s="21">
        <f t="shared" si="246"/>
        <v>0</v>
      </c>
      <c r="CL169" s="55">
        <v>246</v>
      </c>
      <c r="CM169" s="55"/>
      <c r="CN169" s="60"/>
      <c r="CO169" s="55"/>
      <c r="CP169" s="55"/>
      <c r="CQ169" s="55"/>
      <c r="CR169" s="55"/>
      <c r="CS169" s="55"/>
      <c r="CT169" s="55"/>
      <c r="CU169" s="55"/>
      <c r="CV169" s="55"/>
      <c r="CW169" s="55"/>
      <c r="CX169" s="55"/>
      <c r="CY169" s="21">
        <f t="shared" si="241"/>
        <v>0</v>
      </c>
      <c r="CZ169" s="56"/>
      <c r="DA169" s="56"/>
      <c r="DB169" s="56"/>
      <c r="DC169" s="56"/>
      <c r="DD169" s="61">
        <f t="shared" si="221"/>
        <v>0</v>
      </c>
      <c r="DE169" s="21">
        <f t="shared" si="222"/>
        <v>0</v>
      </c>
      <c r="DF169" s="55">
        <v>14</v>
      </c>
      <c r="DG169" s="55"/>
      <c r="DH169" s="55"/>
      <c r="DI169" s="55"/>
      <c r="DJ169" s="104"/>
      <c r="DK169" s="53"/>
      <c r="DM169" s="58">
        <f t="shared" si="205"/>
        <v>603.72415487999979</v>
      </c>
      <c r="DN169" s="58">
        <f t="shared" si="242"/>
        <v>431.4</v>
      </c>
      <c r="DO169" s="21">
        <f t="shared" si="243"/>
        <v>0.71456475032997135</v>
      </c>
      <c r="DP169" s="62">
        <f t="shared" ref="DP169:DP179" si="251">IF((1/DO169)^$DP$5&lt;1,1,(1/DO169)^$DP$5)</f>
        <v>1.0376608350767011</v>
      </c>
      <c r="DQ169" s="7">
        <v>0</v>
      </c>
      <c r="DR169" s="107">
        <f t="shared" si="206"/>
        <v>0</v>
      </c>
      <c r="DS169" s="36"/>
      <c r="DT169" s="36"/>
      <c r="DU169" s="36"/>
      <c r="DV169" s="36"/>
      <c r="DW169" s="36"/>
      <c r="DX169" s="36"/>
      <c r="DY169" s="36"/>
      <c r="DZ169" s="36"/>
      <c r="EB169" s="36"/>
      <c r="EC169" s="36"/>
      <c r="ED169" s="36"/>
      <c r="EF169" s="67"/>
      <c r="EG169" s="67"/>
    </row>
    <row r="170" spans="1:244" ht="12.75" customHeight="1" x14ac:dyDescent="0.2">
      <c r="A170" s="53" t="s">
        <v>507</v>
      </c>
      <c r="B170" s="54">
        <v>2</v>
      </c>
      <c r="C170" s="92">
        <f t="shared" si="247"/>
        <v>103.75044639028236</v>
      </c>
      <c r="D170" s="92">
        <f t="shared" si="248"/>
        <v>99.731395734273704</v>
      </c>
      <c r="E170" s="92">
        <f>VLOOKUP(A170,[3]TRTOTAL!$A$7:$D$313,3,FALSE)</f>
        <v>102.74803532267416</v>
      </c>
      <c r="F170" s="92">
        <f>VLOOKUP(A170,[3]TRTOTAL!$A$7:$D$313,4,FALSE)</f>
        <v>98.76781573678646</v>
      </c>
      <c r="G170" s="92">
        <f t="shared" si="209"/>
        <v>1.0024110676082074</v>
      </c>
      <c r="H170" s="92">
        <f t="shared" si="210"/>
        <v>0.9635799974872441</v>
      </c>
      <c r="I170" s="54">
        <v>5.25</v>
      </c>
      <c r="J170" s="56">
        <v>5.25</v>
      </c>
      <c r="K170" s="54">
        <v>2.59</v>
      </c>
      <c r="L170" s="58">
        <v>2</v>
      </c>
      <c r="M170" s="57">
        <v>0</v>
      </c>
      <c r="N170" s="57">
        <v>150</v>
      </c>
      <c r="O170" s="21" t="s">
        <v>602</v>
      </c>
      <c r="P170" s="24">
        <f t="shared" si="228"/>
        <v>16.174833333333336</v>
      </c>
      <c r="Q170" s="24">
        <f t="shared" si="245"/>
        <v>8.65</v>
      </c>
      <c r="R170" s="24">
        <f t="shared" si="249"/>
        <v>4.0263833333333343</v>
      </c>
      <c r="S170" s="87">
        <v>9</v>
      </c>
      <c r="T170" s="21">
        <f t="shared" si="230"/>
        <v>5.8186</v>
      </c>
      <c r="U170" s="21"/>
      <c r="V170" s="24">
        <f t="shared" si="250"/>
        <v>2.1</v>
      </c>
      <c r="W170" s="24">
        <f t="shared" si="232"/>
        <v>2.29</v>
      </c>
      <c r="X170" s="24">
        <f t="shared" si="233"/>
        <v>3.084386898292049</v>
      </c>
      <c r="Y170" s="25">
        <f t="shared" si="223"/>
        <v>1</v>
      </c>
      <c r="Z170" s="24">
        <f t="shared" si="211"/>
        <v>15.193760347825403</v>
      </c>
      <c r="AA170" s="21">
        <f t="shared" si="234"/>
        <v>2.1452306107588757</v>
      </c>
      <c r="AB170" s="24">
        <f t="shared" si="212"/>
        <v>3.6449351994931249</v>
      </c>
      <c r="AC170" s="24">
        <f t="shared" si="225"/>
        <v>21.138532471384423</v>
      </c>
      <c r="AD170" s="58">
        <f t="shared" si="235"/>
        <v>294</v>
      </c>
      <c r="AE170" s="58">
        <f t="shared" si="236"/>
        <v>300</v>
      </c>
      <c r="AF170" s="21">
        <f t="shared" si="213"/>
        <v>2.7736784999999999</v>
      </c>
      <c r="AG170" s="77">
        <f t="shared" si="214"/>
        <v>0</v>
      </c>
      <c r="AH170" s="114">
        <f t="shared" si="224"/>
        <v>0.98499999999999999</v>
      </c>
      <c r="AI170" s="59">
        <f t="shared" si="215"/>
        <v>102.06648308329403</v>
      </c>
      <c r="AJ170" s="59">
        <f t="shared" si="216"/>
        <v>98.112665243809232</v>
      </c>
      <c r="AK170" s="55">
        <v>8.65</v>
      </c>
      <c r="AL170" s="55">
        <v>2.1</v>
      </c>
      <c r="AM170" s="21">
        <f t="shared" si="237"/>
        <v>9.0825000000000014</v>
      </c>
      <c r="AN170" s="54">
        <f>AK170</f>
        <v>8.65</v>
      </c>
      <c r="AO170" s="55">
        <v>0.12</v>
      </c>
      <c r="AP170" s="21">
        <f t="shared" si="186"/>
        <v>0.69200000000000006</v>
      </c>
      <c r="AQ170" s="55">
        <v>2.17</v>
      </c>
      <c r="AR170" s="55">
        <v>0</v>
      </c>
      <c r="AS170" s="21">
        <f t="shared" si="187"/>
        <v>0</v>
      </c>
      <c r="AT170" s="54">
        <v>8.4</v>
      </c>
      <c r="AU170" s="54">
        <v>0.57999999999999996</v>
      </c>
      <c r="AV170" s="21">
        <f t="shared" si="188"/>
        <v>2.4359999999999999</v>
      </c>
      <c r="AW170" s="54">
        <v>4.25</v>
      </c>
      <c r="AX170" s="54">
        <v>0.57999999999999996</v>
      </c>
      <c r="AY170" s="21">
        <f t="shared" si="189"/>
        <v>1.2324999999999999</v>
      </c>
      <c r="AZ170" s="54">
        <v>4.24</v>
      </c>
      <c r="BA170" s="54">
        <v>0.02</v>
      </c>
      <c r="BB170" s="21">
        <f t="shared" si="190"/>
        <v>5.6533333333333331E-2</v>
      </c>
      <c r="BC170" s="54">
        <v>2.25</v>
      </c>
      <c r="BD170" s="54">
        <v>5.0000000000000001E-3</v>
      </c>
      <c r="BE170" s="21">
        <f t="shared" si="191"/>
        <v>7.4999999999999997E-3</v>
      </c>
      <c r="BF170" s="55">
        <v>2.15</v>
      </c>
      <c r="BG170" s="55">
        <v>0.88</v>
      </c>
      <c r="BH170" s="21">
        <f t="shared" si="192"/>
        <v>0.94599999999999995</v>
      </c>
      <c r="BI170" s="55">
        <v>1.77</v>
      </c>
      <c r="BJ170" s="55">
        <v>0.01</v>
      </c>
      <c r="BK170" s="21">
        <f t="shared" si="193"/>
        <v>1.18E-2</v>
      </c>
      <c r="BL170" s="55">
        <v>0</v>
      </c>
      <c r="BM170" s="55">
        <v>0</v>
      </c>
      <c r="BN170" s="21">
        <f t="shared" si="194"/>
        <v>0</v>
      </c>
      <c r="BO170" s="55">
        <v>0</v>
      </c>
      <c r="BP170" s="55">
        <v>0</v>
      </c>
      <c r="BQ170" s="21">
        <f t="shared" si="195"/>
        <v>0</v>
      </c>
      <c r="BR170" s="55">
        <v>0</v>
      </c>
      <c r="BS170" s="21">
        <f t="shared" si="238"/>
        <v>14.464833333333335</v>
      </c>
      <c r="BT170" s="56">
        <v>6.19</v>
      </c>
      <c r="BU170" s="56">
        <v>1.37</v>
      </c>
      <c r="BV170" s="21">
        <f t="shared" si="239"/>
        <v>4.2401500000000008</v>
      </c>
      <c r="BW170" s="77">
        <f t="shared" si="217"/>
        <v>6.19</v>
      </c>
      <c r="BX170" s="55">
        <v>-0.01</v>
      </c>
      <c r="BY170" s="21">
        <f t="shared" si="240"/>
        <v>-4.1266666666666667E-2</v>
      </c>
      <c r="BZ170" s="55">
        <v>5.9</v>
      </c>
      <c r="CA170" s="55">
        <v>-0.05</v>
      </c>
      <c r="CB170" s="21">
        <f t="shared" si="226"/>
        <v>-0.19666666666666668</v>
      </c>
      <c r="CC170" s="54">
        <v>1.45</v>
      </c>
      <c r="CD170" s="54">
        <v>2.5000000000000001E-2</v>
      </c>
      <c r="CE170" s="21">
        <f t="shared" si="227"/>
        <v>2.4166666666666666E-2</v>
      </c>
      <c r="CF170" s="21"/>
      <c r="CG170" s="21"/>
      <c r="CH170" s="21">
        <f t="shared" si="218"/>
        <v>0</v>
      </c>
      <c r="CI170" s="25">
        <f t="shared" si="219"/>
        <v>4.0263833333333343</v>
      </c>
      <c r="CJ170" s="54">
        <v>0.38</v>
      </c>
      <c r="CK170" s="21">
        <f t="shared" si="246"/>
        <v>1.71</v>
      </c>
      <c r="CL170" s="55">
        <v>17</v>
      </c>
      <c r="CM170" s="55" t="s">
        <v>356</v>
      </c>
      <c r="CN170" s="60">
        <v>41010</v>
      </c>
      <c r="CO170" s="55" t="s">
        <v>357</v>
      </c>
      <c r="CP170" s="55">
        <v>0</v>
      </c>
      <c r="CQ170" s="55">
        <v>0</v>
      </c>
      <c r="CR170" s="55">
        <v>0</v>
      </c>
      <c r="CS170" s="55" t="s">
        <v>358</v>
      </c>
      <c r="CT170" s="55"/>
      <c r="CU170" s="55"/>
      <c r="CV170" s="55"/>
      <c r="CW170" s="55"/>
      <c r="CX170" s="55"/>
      <c r="CY170" s="21">
        <f t="shared" si="241"/>
        <v>0</v>
      </c>
      <c r="CZ170" s="56">
        <v>3.6</v>
      </c>
      <c r="DA170" s="56">
        <v>8.15</v>
      </c>
      <c r="DB170" s="56">
        <v>7.0149999999999997</v>
      </c>
      <c r="DC170" s="56">
        <v>2.758</v>
      </c>
      <c r="DD170" s="61">
        <f t="shared" si="221"/>
        <v>0.76611111111111108</v>
      </c>
      <c r="DE170" s="21">
        <f t="shared" si="222"/>
        <v>18.49119</v>
      </c>
      <c r="DF170" s="55"/>
      <c r="DG170" s="55"/>
      <c r="DH170" s="55"/>
      <c r="DI170" s="55"/>
      <c r="DJ170" s="104"/>
      <c r="DK170"/>
      <c r="DM170" s="58">
        <f t="shared" si="205"/>
        <v>841.26633853332851</v>
      </c>
      <c r="DN170" s="58">
        <f t="shared" si="242"/>
        <v>724.98</v>
      </c>
      <c r="DO170" s="21">
        <f t="shared" si="243"/>
        <v>0.86177226734631607</v>
      </c>
      <c r="DP170" s="62">
        <f t="shared" si="251"/>
        <v>1.0164986904233204</v>
      </c>
      <c r="DQ170" s="7" t="s">
        <v>130</v>
      </c>
      <c r="DR170" s="107">
        <f t="shared" si="206"/>
        <v>0</v>
      </c>
    </row>
    <row r="171" spans="1:244" ht="12.75" customHeight="1" x14ac:dyDescent="0.2">
      <c r="A171" s="53" t="s">
        <v>531</v>
      </c>
      <c r="B171" s="54">
        <v>2</v>
      </c>
      <c r="C171" s="92">
        <f t="shared" si="247"/>
        <v>102.17577826651313</v>
      </c>
      <c r="D171" s="92">
        <f t="shared" si="248"/>
        <v>97.374739569279541</v>
      </c>
      <c r="E171" s="92">
        <f>VLOOKUP(A171,[3]TRTOTAL!$A$7:$D$313,3,FALSE)</f>
        <v>102.34955657950971</v>
      </c>
      <c r="F171" s="92">
        <f>VLOOKUP(A171,[3]TRTOTAL!$A$7:$D$313,4,FALSE)</f>
        <v>97.561381980812342</v>
      </c>
      <c r="G171" s="92">
        <f t="shared" si="209"/>
        <v>-0.17377831299657487</v>
      </c>
      <c r="H171" s="92">
        <f t="shared" si="210"/>
        <v>-0.18664241153280159</v>
      </c>
      <c r="I171" s="54">
        <v>5.25</v>
      </c>
      <c r="J171" s="56">
        <v>5.25</v>
      </c>
      <c r="K171" s="54">
        <v>2.59</v>
      </c>
      <c r="L171" s="58">
        <v>2</v>
      </c>
      <c r="M171" s="57">
        <v>0</v>
      </c>
      <c r="N171" s="90">
        <v>174</v>
      </c>
      <c r="O171" s="87" t="s">
        <v>595</v>
      </c>
      <c r="P171" s="24">
        <f t="shared" si="228"/>
        <v>16.174833333333336</v>
      </c>
      <c r="Q171" s="24">
        <f t="shared" si="245"/>
        <v>8.65</v>
      </c>
      <c r="R171" s="24">
        <f t="shared" si="249"/>
        <v>4.0263833333333343</v>
      </c>
      <c r="S171" s="87">
        <v>9</v>
      </c>
      <c r="T171" s="21">
        <f t="shared" si="230"/>
        <v>5.8186</v>
      </c>
      <c r="U171" s="21"/>
      <c r="V171" s="24">
        <f t="shared" si="250"/>
        <v>2.1</v>
      </c>
      <c r="W171" s="24">
        <f t="shared" si="232"/>
        <v>2.29</v>
      </c>
      <c r="X171" s="24">
        <f t="shared" si="233"/>
        <v>3.084386898292049</v>
      </c>
      <c r="Y171" s="25">
        <f t="shared" si="223"/>
        <v>1</v>
      </c>
      <c r="Z171" s="24">
        <f t="shared" si="211"/>
        <v>15.193760347825403</v>
      </c>
      <c r="AA171" s="21">
        <f t="shared" si="234"/>
        <v>2.1452306107588757</v>
      </c>
      <c r="AB171" s="24">
        <f t="shared" si="212"/>
        <v>3.6449351994931249</v>
      </c>
      <c r="AC171" s="24">
        <f t="shared" si="225"/>
        <v>21.572512357049817</v>
      </c>
      <c r="AD171" s="58">
        <f t="shared" si="235"/>
        <v>318</v>
      </c>
      <c r="AE171" s="58">
        <f t="shared" si="236"/>
        <v>324</v>
      </c>
      <c r="AF171" s="21">
        <f t="shared" si="213"/>
        <v>2.6359280000000003</v>
      </c>
      <c r="AG171" s="77">
        <f t="shared" si="214"/>
        <v>3.2076583856653933</v>
      </c>
      <c r="AH171" s="114">
        <f t="shared" si="224"/>
        <v>0.95</v>
      </c>
      <c r="AI171" s="59">
        <f t="shared" si="215"/>
        <v>100.98257874935902</v>
      </c>
      <c r="AJ171" s="59">
        <f t="shared" si="216"/>
        <v>96.237606148734301</v>
      </c>
      <c r="AK171" s="55">
        <v>8.65</v>
      </c>
      <c r="AL171" s="55">
        <v>2.1</v>
      </c>
      <c r="AM171" s="21">
        <f t="shared" si="237"/>
        <v>9.0825000000000014</v>
      </c>
      <c r="AN171" s="54">
        <f>AK171</f>
        <v>8.65</v>
      </c>
      <c r="AO171" s="55">
        <v>0.12</v>
      </c>
      <c r="AP171" s="21">
        <f t="shared" si="186"/>
        <v>0.69200000000000006</v>
      </c>
      <c r="AQ171" s="55">
        <v>2.17</v>
      </c>
      <c r="AR171" s="55">
        <v>0</v>
      </c>
      <c r="AS171" s="21">
        <f t="shared" si="187"/>
        <v>0</v>
      </c>
      <c r="AT171" s="54">
        <v>8.4</v>
      </c>
      <c r="AU171" s="54">
        <v>0.57999999999999996</v>
      </c>
      <c r="AV171" s="21">
        <f t="shared" si="188"/>
        <v>2.4359999999999999</v>
      </c>
      <c r="AW171" s="54">
        <v>4.25</v>
      </c>
      <c r="AX171" s="54">
        <v>0.57999999999999996</v>
      </c>
      <c r="AY171" s="21">
        <f t="shared" si="189"/>
        <v>1.2324999999999999</v>
      </c>
      <c r="AZ171" s="54">
        <v>4.24</v>
      </c>
      <c r="BA171" s="54">
        <v>0.02</v>
      </c>
      <c r="BB171" s="21">
        <f t="shared" si="190"/>
        <v>5.6533333333333331E-2</v>
      </c>
      <c r="BC171" s="54">
        <v>2.25</v>
      </c>
      <c r="BD171" s="54">
        <v>5.0000000000000001E-3</v>
      </c>
      <c r="BE171" s="21">
        <f t="shared" si="191"/>
        <v>7.4999999999999997E-3</v>
      </c>
      <c r="BF171" s="55">
        <v>2.15</v>
      </c>
      <c r="BG171" s="55">
        <v>0.88</v>
      </c>
      <c r="BH171" s="21">
        <f t="shared" si="192"/>
        <v>0.94599999999999995</v>
      </c>
      <c r="BI171" s="55">
        <v>1.77</v>
      </c>
      <c r="BJ171" s="55">
        <v>0.01</v>
      </c>
      <c r="BK171" s="21">
        <f t="shared" si="193"/>
        <v>1.18E-2</v>
      </c>
      <c r="BL171" s="55">
        <v>0</v>
      </c>
      <c r="BM171" s="55">
        <v>0</v>
      </c>
      <c r="BN171" s="21">
        <f t="shared" si="194"/>
        <v>0</v>
      </c>
      <c r="BO171" s="55">
        <v>0</v>
      </c>
      <c r="BP171" s="55">
        <v>0</v>
      </c>
      <c r="BQ171" s="21">
        <f t="shared" si="195"/>
        <v>0</v>
      </c>
      <c r="BR171" s="55">
        <v>0</v>
      </c>
      <c r="BS171" s="21">
        <f t="shared" si="238"/>
        <v>14.464833333333335</v>
      </c>
      <c r="BT171" s="56">
        <v>6.19</v>
      </c>
      <c r="BU171" s="56">
        <v>1.37</v>
      </c>
      <c r="BV171" s="21">
        <f t="shared" si="239"/>
        <v>4.2401500000000008</v>
      </c>
      <c r="BW171" s="77">
        <f t="shared" si="217"/>
        <v>6.19</v>
      </c>
      <c r="BX171" s="55">
        <v>-0.01</v>
      </c>
      <c r="BY171" s="21">
        <f t="shared" si="240"/>
        <v>-4.1266666666666667E-2</v>
      </c>
      <c r="BZ171" s="55">
        <v>5.9</v>
      </c>
      <c r="CA171" s="55">
        <v>-0.05</v>
      </c>
      <c r="CB171" s="21">
        <f t="shared" si="226"/>
        <v>-0.19666666666666668</v>
      </c>
      <c r="CC171" s="54">
        <v>1.45</v>
      </c>
      <c r="CD171" s="54">
        <v>2.5000000000000001E-2</v>
      </c>
      <c r="CE171" s="21">
        <f t="shared" si="227"/>
        <v>2.4166666666666666E-2</v>
      </c>
      <c r="CF171" s="21"/>
      <c r="CG171" s="21"/>
      <c r="CH171" s="21">
        <f t="shared" si="218"/>
        <v>0</v>
      </c>
      <c r="CI171" s="25">
        <f t="shared" si="219"/>
        <v>4.0263833333333343</v>
      </c>
      <c r="CJ171" s="54">
        <v>0.38</v>
      </c>
      <c r="CK171" s="21">
        <f t="shared" si="246"/>
        <v>1.71</v>
      </c>
      <c r="CL171" s="55"/>
      <c r="CM171" s="55" t="s">
        <v>508</v>
      </c>
      <c r="CN171" s="60">
        <v>42895</v>
      </c>
      <c r="CO171" s="55" t="s">
        <v>226</v>
      </c>
      <c r="CP171" s="55">
        <v>0</v>
      </c>
      <c r="CQ171" s="55">
        <v>0</v>
      </c>
      <c r="CR171" s="55">
        <v>0</v>
      </c>
      <c r="CS171" s="55"/>
      <c r="CT171" s="55"/>
      <c r="CU171" s="55"/>
      <c r="CV171" s="55"/>
      <c r="CW171" s="55"/>
      <c r="CX171" s="55"/>
      <c r="CY171" s="21">
        <f t="shared" si="241"/>
        <v>0</v>
      </c>
      <c r="CZ171" s="56">
        <v>3.58</v>
      </c>
      <c r="DA171" s="56">
        <v>8.2430000000000003</v>
      </c>
      <c r="DB171" s="56">
        <v>7.5410000000000004</v>
      </c>
      <c r="DC171" s="56">
        <v>2.4449999999999998</v>
      </c>
      <c r="DD171" s="61">
        <f t="shared" si="221"/>
        <v>0.68296089385474856</v>
      </c>
      <c r="DE171" s="21">
        <f t="shared" si="222"/>
        <v>17.572853333333335</v>
      </c>
      <c r="DF171" s="55"/>
      <c r="DG171" s="55"/>
      <c r="DH171" s="55"/>
      <c r="DI171" s="55"/>
      <c r="DJ171" s="104"/>
      <c r="DK171" s="53" t="s">
        <v>522</v>
      </c>
      <c r="DM171" s="58">
        <f t="shared" si="205"/>
        <v>841.26633853332851</v>
      </c>
      <c r="DN171" s="58">
        <f t="shared" si="242"/>
        <v>756.06</v>
      </c>
      <c r="DO171" s="21">
        <f t="shared" si="243"/>
        <v>0.89871657211213507</v>
      </c>
      <c r="DP171" s="62">
        <f t="shared" si="251"/>
        <v>1.0118158947011608</v>
      </c>
      <c r="DQ171" s="7"/>
      <c r="DR171" s="107">
        <f t="shared" si="206"/>
        <v>0</v>
      </c>
    </row>
    <row r="172" spans="1:244" ht="12.75" customHeight="1" x14ac:dyDescent="0.2">
      <c r="A172" s="53" t="s">
        <v>359</v>
      </c>
      <c r="B172" s="54">
        <v>1</v>
      </c>
      <c r="C172" s="92">
        <f t="shared" si="247"/>
        <v>105.01142657097273</v>
      </c>
      <c r="D172" s="92">
        <f t="shared" si="248"/>
        <v>101.10558286314962</v>
      </c>
      <c r="E172" s="92">
        <f>VLOOKUP(A172,[3]TRTOTAL!$A$7:$D$313,3,FALSE)</f>
        <v>105.057905888208</v>
      </c>
      <c r="F172" s="92">
        <f>VLOOKUP(A172,[3]TRTOTAL!$A$7:$D$313,4,FALSE)</f>
        <v>101.15033340710093</v>
      </c>
      <c r="G172" s="92">
        <f t="shared" si="209"/>
        <v>-4.6479317235267104E-2</v>
      </c>
      <c r="H172" s="92">
        <f t="shared" si="210"/>
        <v>-4.4750543951309396E-2</v>
      </c>
      <c r="I172" s="54">
        <v>5.47</v>
      </c>
      <c r="J172" s="56">
        <v>5.35</v>
      </c>
      <c r="K172" s="54">
        <v>3.3</v>
      </c>
      <c r="L172" s="57">
        <v>1</v>
      </c>
      <c r="M172" s="57">
        <v>170</v>
      </c>
      <c r="N172" s="57"/>
      <c r="O172" s="87"/>
      <c r="P172" s="24">
        <f t="shared" si="228"/>
        <v>17.79</v>
      </c>
      <c r="Q172" s="24">
        <f t="shared" si="245"/>
        <v>9.48</v>
      </c>
      <c r="R172" s="24">
        <f t="shared" si="249"/>
        <v>0</v>
      </c>
      <c r="S172" s="87">
        <v>9.5</v>
      </c>
      <c r="T172" s="21">
        <f t="shared" si="230"/>
        <v>0</v>
      </c>
      <c r="U172" s="21"/>
      <c r="V172" s="24">
        <f t="shared" si="250"/>
        <v>2.16</v>
      </c>
      <c r="W172" s="24">
        <f t="shared" si="232"/>
        <v>2.3200000000000003</v>
      </c>
      <c r="X172" s="24">
        <f t="shared" si="233"/>
        <v>3.3052170035671811</v>
      </c>
      <c r="Y172" s="25">
        <f t="shared" si="223"/>
        <v>1</v>
      </c>
      <c r="Z172" s="24">
        <f t="shared" si="211"/>
        <v>17.061245973353405</v>
      </c>
      <c r="AA172" s="21">
        <f t="shared" si="234"/>
        <v>0</v>
      </c>
      <c r="AB172" s="24">
        <f t="shared" si="212"/>
        <v>0</v>
      </c>
      <c r="AC172" s="24">
        <f t="shared" si="225"/>
        <v>19.611245973353405</v>
      </c>
      <c r="AD172" s="58">
        <f t="shared" si="235"/>
        <v>245</v>
      </c>
      <c r="AE172" s="58">
        <f t="shared" si="236"/>
        <v>251</v>
      </c>
      <c r="AF172" s="21">
        <f t="shared" si="213"/>
        <v>2.5499999999999998</v>
      </c>
      <c r="AG172" s="77">
        <f t="shared" si="214"/>
        <v>0</v>
      </c>
      <c r="AH172" s="114">
        <f t="shared" si="224"/>
        <v>1</v>
      </c>
      <c r="AI172" s="59">
        <f t="shared" si="215"/>
        <v>101.03473454415524</v>
      </c>
      <c r="AJ172" s="59">
        <f t="shared" si="216"/>
        <v>96.313665112975542</v>
      </c>
      <c r="AK172" s="55"/>
      <c r="AL172" s="55">
        <v>2.16</v>
      </c>
      <c r="AM172" s="21">
        <f t="shared" si="237"/>
        <v>0</v>
      </c>
      <c r="AN172" s="54">
        <v>9.48</v>
      </c>
      <c r="AO172" s="55"/>
      <c r="AP172" s="21">
        <f t="shared" si="186"/>
        <v>0</v>
      </c>
      <c r="AQ172" s="55"/>
      <c r="AR172" s="55"/>
      <c r="AS172" s="21">
        <f t="shared" si="187"/>
        <v>0</v>
      </c>
      <c r="AT172" s="54"/>
      <c r="AU172" s="54"/>
      <c r="AV172" s="21">
        <f t="shared" si="188"/>
        <v>0</v>
      </c>
      <c r="AW172" s="54"/>
      <c r="AX172" s="54"/>
      <c r="AY172" s="21">
        <f t="shared" si="189"/>
        <v>0</v>
      </c>
      <c r="AZ172" s="54"/>
      <c r="BA172" s="54"/>
      <c r="BB172" s="21">
        <f t="shared" si="190"/>
        <v>0</v>
      </c>
      <c r="BC172" s="54"/>
      <c r="BD172" s="54"/>
      <c r="BE172" s="21">
        <f t="shared" si="191"/>
        <v>0</v>
      </c>
      <c r="BF172" s="55"/>
      <c r="BG172" s="55"/>
      <c r="BH172" s="21">
        <f t="shared" si="192"/>
        <v>0</v>
      </c>
      <c r="BI172" s="55"/>
      <c r="BJ172" s="55"/>
      <c r="BK172" s="21">
        <f t="shared" si="193"/>
        <v>0</v>
      </c>
      <c r="BL172" s="55"/>
      <c r="BM172" s="55"/>
      <c r="BN172" s="21">
        <f t="shared" si="194"/>
        <v>0</v>
      </c>
      <c r="BO172" s="55"/>
      <c r="BP172" s="55"/>
      <c r="BQ172" s="21">
        <f t="shared" si="195"/>
        <v>0</v>
      </c>
      <c r="BR172" s="55"/>
      <c r="BS172" s="21">
        <f t="shared" si="238"/>
        <v>0</v>
      </c>
      <c r="BT172" s="56">
        <v>0</v>
      </c>
      <c r="BU172" s="56"/>
      <c r="BV172" s="21">
        <f t="shared" si="239"/>
        <v>0</v>
      </c>
      <c r="BW172" s="77">
        <f t="shared" si="217"/>
        <v>0</v>
      </c>
      <c r="BX172" s="55"/>
      <c r="BY172" s="21">
        <f t="shared" si="240"/>
        <v>0</v>
      </c>
      <c r="BZ172" s="55"/>
      <c r="CA172" s="55"/>
      <c r="CB172" s="21">
        <f t="shared" si="226"/>
        <v>0</v>
      </c>
      <c r="CC172" s="55"/>
      <c r="CD172" s="55"/>
      <c r="CE172" s="21">
        <f t="shared" si="227"/>
        <v>0</v>
      </c>
      <c r="CF172" s="21"/>
      <c r="CG172" s="21"/>
      <c r="CH172" s="21">
        <f t="shared" si="218"/>
        <v>0</v>
      </c>
      <c r="CI172" s="25">
        <f t="shared" si="219"/>
        <v>0</v>
      </c>
      <c r="CJ172" s="54"/>
      <c r="CK172" s="21">
        <f t="shared" si="246"/>
        <v>0</v>
      </c>
      <c r="CL172" s="55"/>
      <c r="CM172" s="55"/>
      <c r="CN172" s="60"/>
      <c r="CO172" s="55" t="s">
        <v>226</v>
      </c>
      <c r="CP172" s="55"/>
      <c r="CQ172" s="55"/>
      <c r="CR172" s="55"/>
      <c r="CS172" s="55"/>
      <c r="CT172" s="55"/>
      <c r="CU172" s="55"/>
      <c r="CV172" s="55"/>
      <c r="CW172" s="55"/>
      <c r="CX172" s="55"/>
      <c r="CY172" s="21">
        <f t="shared" si="241"/>
        <v>0</v>
      </c>
      <c r="CZ172" s="56"/>
      <c r="DA172" s="56"/>
      <c r="DB172" s="56"/>
      <c r="DC172" s="56">
        <f>IF(CY172,CY172*(CZ172+DA172)/4+(DB172-CY172/2)*(CZ172+DA172)/3,0)</f>
        <v>0</v>
      </c>
      <c r="DD172" s="61">
        <f t="shared" si="221"/>
        <v>0</v>
      </c>
      <c r="DE172" s="21">
        <f t="shared" si="222"/>
        <v>0</v>
      </c>
      <c r="DF172" s="55">
        <v>17.79</v>
      </c>
      <c r="DG172" s="55"/>
      <c r="DH172" s="55"/>
      <c r="DI172" s="55"/>
      <c r="DJ172" s="104"/>
      <c r="DK172" s="53"/>
      <c r="DM172" s="58">
        <f t="shared" si="205"/>
        <v>856.51340285951994</v>
      </c>
      <c r="DN172" s="58">
        <f t="shared" si="242"/>
        <v>603</v>
      </c>
      <c r="DO172" s="21">
        <f t="shared" si="243"/>
        <v>0.70401700427202818</v>
      </c>
      <c r="DP172" s="62">
        <f t="shared" si="251"/>
        <v>1.0393596523488617</v>
      </c>
      <c r="DQ172" s="7" t="s">
        <v>130</v>
      </c>
      <c r="DR172" s="107" t="str">
        <f t="shared" si="206"/>
        <v>yes</v>
      </c>
    </row>
    <row r="173" spans="1:244" ht="12.75" customHeight="1" x14ac:dyDescent="0.2">
      <c r="A173" s="53" t="s">
        <v>498</v>
      </c>
      <c r="B173" s="54">
        <v>2</v>
      </c>
      <c r="C173" s="92">
        <f t="shared" si="247"/>
        <v>101.10923367175</v>
      </c>
      <c r="D173" s="92">
        <f t="shared" si="248"/>
        <v>96.211776747840005</v>
      </c>
      <c r="E173" s="92">
        <f>VLOOKUP(A173,[3]TRTOTAL!$A$7:$D$313,3,FALSE)</f>
        <v>101.10923367175</v>
      </c>
      <c r="F173" s="92">
        <f>VLOOKUP(A173,[3]TRTOTAL!$A$7:$D$313,4,FALSE)</f>
        <v>96.211776747840005</v>
      </c>
      <c r="G173" s="92">
        <f t="shared" si="209"/>
        <v>0</v>
      </c>
      <c r="H173" s="92">
        <f t="shared" si="210"/>
        <v>0</v>
      </c>
      <c r="I173" s="54">
        <v>6.12</v>
      </c>
      <c r="J173" s="56">
        <v>6.1</v>
      </c>
      <c r="K173" s="54">
        <v>2.6</v>
      </c>
      <c r="L173" s="57">
        <v>2</v>
      </c>
      <c r="M173" s="57"/>
      <c r="N173" s="57">
        <v>192</v>
      </c>
      <c r="O173" s="87"/>
      <c r="P173" s="24">
        <f t="shared" si="228"/>
        <v>19.2</v>
      </c>
      <c r="Q173" s="24">
        <f t="shared" si="245"/>
        <v>9</v>
      </c>
      <c r="R173" s="24">
        <f t="shared" si="249"/>
        <v>4.72</v>
      </c>
      <c r="S173" s="87">
        <v>9.73</v>
      </c>
      <c r="T173" s="21">
        <f t="shared" si="230"/>
        <v>6.25</v>
      </c>
      <c r="U173" s="21"/>
      <c r="V173" s="24">
        <f t="shared" si="250"/>
        <v>2.52</v>
      </c>
      <c r="W173" s="24">
        <f t="shared" si="232"/>
        <v>2.68</v>
      </c>
      <c r="X173" s="24">
        <f t="shared" si="233"/>
        <v>2.673201158387168</v>
      </c>
      <c r="Y173" s="25">
        <f t="shared" si="223"/>
        <v>1</v>
      </c>
      <c r="Z173" s="24">
        <f t="shared" si="211"/>
        <v>17.27768387590244</v>
      </c>
      <c r="AA173" s="21">
        <f t="shared" si="234"/>
        <v>0</v>
      </c>
      <c r="AB173" s="24">
        <f t="shared" si="212"/>
        <v>4.2480000000000002</v>
      </c>
      <c r="AC173" s="24">
        <f t="shared" si="225"/>
        <v>24.72344387590244</v>
      </c>
      <c r="AD173" s="58">
        <f t="shared" si="235"/>
        <v>336</v>
      </c>
      <c r="AE173" s="58">
        <f t="shared" si="236"/>
        <v>342</v>
      </c>
      <c r="AF173" s="21">
        <f t="shared" si="213"/>
        <v>3.75</v>
      </c>
      <c r="AG173" s="77">
        <f t="shared" si="214"/>
        <v>0</v>
      </c>
      <c r="AH173" s="114">
        <f t="shared" si="224"/>
        <v>1</v>
      </c>
      <c r="AI173" s="59">
        <f t="shared" si="215"/>
        <v>98.0800528298617</v>
      </c>
      <c r="AJ173" s="59">
        <f t="shared" si="216"/>
        <v>93.329321206393047</v>
      </c>
      <c r="AK173" s="54"/>
      <c r="AL173" s="55">
        <v>2.52</v>
      </c>
      <c r="AM173" s="21">
        <f t="shared" si="237"/>
        <v>0</v>
      </c>
      <c r="AN173" s="54">
        <v>9</v>
      </c>
      <c r="AO173" s="54"/>
      <c r="AP173" s="54"/>
      <c r="AQ173" s="54"/>
      <c r="AR173" s="54"/>
      <c r="AS173" s="54"/>
      <c r="AT173" s="54"/>
      <c r="AU173" s="54"/>
      <c r="AV173" s="21"/>
      <c r="AW173" s="54"/>
      <c r="AX173" s="54"/>
      <c r="AY173" s="21"/>
      <c r="AZ173" s="54"/>
      <c r="BA173" s="54"/>
      <c r="BB173" s="21"/>
      <c r="BC173" s="54"/>
      <c r="BD173" s="54"/>
      <c r="BE173" s="21"/>
      <c r="BF173" s="55"/>
      <c r="BG173" s="55"/>
      <c r="BH173" s="21"/>
      <c r="BI173" s="55"/>
      <c r="BJ173" s="55"/>
      <c r="BK173" s="21"/>
      <c r="BL173" s="54"/>
      <c r="BM173" s="54"/>
      <c r="BN173" s="54"/>
      <c r="BO173" s="54"/>
      <c r="BP173" s="54"/>
      <c r="BQ173" s="54"/>
      <c r="BR173" s="54"/>
      <c r="BS173" s="21">
        <f t="shared" si="238"/>
        <v>0</v>
      </c>
      <c r="BT173" s="56">
        <v>0</v>
      </c>
      <c r="BU173" s="56"/>
      <c r="BV173" s="21">
        <f t="shared" si="239"/>
        <v>0</v>
      </c>
      <c r="BW173" s="77">
        <f t="shared" si="217"/>
        <v>0</v>
      </c>
      <c r="BX173" s="55"/>
      <c r="BY173" s="21">
        <f t="shared" si="240"/>
        <v>0</v>
      </c>
      <c r="BZ173" s="55"/>
      <c r="CA173" s="55"/>
      <c r="CB173" s="21">
        <f t="shared" si="226"/>
        <v>0</v>
      </c>
      <c r="CC173" s="55"/>
      <c r="CD173" s="55"/>
      <c r="CE173" s="21">
        <f t="shared" si="227"/>
        <v>0</v>
      </c>
      <c r="CF173" s="21"/>
      <c r="CG173" s="21"/>
      <c r="CH173" s="21">
        <f t="shared" si="218"/>
        <v>0</v>
      </c>
      <c r="CI173" s="25">
        <f t="shared" si="219"/>
        <v>4.72</v>
      </c>
      <c r="CJ173" s="68"/>
      <c r="CK173" s="21">
        <f t="shared" si="246"/>
        <v>0</v>
      </c>
      <c r="CL173" s="55"/>
      <c r="CM173" s="55"/>
      <c r="CN173" s="60"/>
      <c r="CO173" s="55" t="s">
        <v>226</v>
      </c>
      <c r="CP173" s="55"/>
      <c r="CQ173" s="55"/>
      <c r="CR173" s="55"/>
      <c r="CS173" s="55"/>
      <c r="CT173" s="55"/>
      <c r="CU173" s="55"/>
      <c r="CV173" s="55"/>
      <c r="CW173" s="55"/>
      <c r="CX173" s="55"/>
      <c r="CY173" s="21">
        <f t="shared" si="241"/>
        <v>0</v>
      </c>
      <c r="CZ173" s="56"/>
      <c r="DA173" s="56"/>
      <c r="DB173" s="56"/>
      <c r="DC173" s="56"/>
      <c r="DD173" s="61">
        <f t="shared" si="221"/>
        <v>0</v>
      </c>
      <c r="DE173" s="21">
        <f t="shared" si="222"/>
        <v>25</v>
      </c>
      <c r="DF173" s="55">
        <v>19.2</v>
      </c>
      <c r="DG173" s="55">
        <v>4.72</v>
      </c>
      <c r="DH173" s="55">
        <v>6.25</v>
      </c>
      <c r="DI173" s="55">
        <v>25</v>
      </c>
      <c r="DJ173" s="104"/>
      <c r="DK173" s="53"/>
      <c r="DM173" s="58">
        <f t="shared" si="205"/>
        <v>1030.8316300799997</v>
      </c>
      <c r="DN173" s="58">
        <f t="shared" si="242"/>
        <v>781.8</v>
      </c>
      <c r="DO173" s="21">
        <f t="shared" si="243"/>
        <v>0.75841677456029055</v>
      </c>
      <c r="DP173" s="62">
        <f t="shared" si="251"/>
        <v>1.030884779876118</v>
      </c>
      <c r="DQ173" s="7">
        <v>0</v>
      </c>
      <c r="DR173" s="107">
        <f t="shared" si="206"/>
        <v>0</v>
      </c>
      <c r="DS173" s="36"/>
      <c r="DT173" s="36"/>
      <c r="DU173" s="36"/>
      <c r="DV173" s="36"/>
      <c r="DW173" s="36"/>
      <c r="DX173" s="36"/>
      <c r="DY173" s="36"/>
      <c r="DZ173" s="36"/>
      <c r="EB173" s="36"/>
      <c r="EC173" s="36"/>
      <c r="ED173" s="36"/>
      <c r="EF173" s="67"/>
      <c r="EG173" s="67"/>
    </row>
    <row r="174" spans="1:244" ht="12.75" customHeight="1" x14ac:dyDescent="0.2">
      <c r="A174" s="53" t="s">
        <v>360</v>
      </c>
      <c r="B174" s="54">
        <v>2</v>
      </c>
      <c r="C174" s="92">
        <f t="shared" si="247"/>
        <v>122.0128953586908</v>
      </c>
      <c r="D174" s="92">
        <f t="shared" si="248"/>
        <v>116.54104780898659</v>
      </c>
      <c r="E174" s="92">
        <f>VLOOKUP(A174,[3]TRTOTAL!$A$7:$D$313,3,FALSE)</f>
        <v>122.0128953586908</v>
      </c>
      <c r="F174" s="92">
        <f>VLOOKUP(A174,[3]TRTOTAL!$A$7:$D$313,4,FALSE)</f>
        <v>116.54104780898659</v>
      </c>
      <c r="G174" s="92">
        <f t="shared" si="209"/>
        <v>0</v>
      </c>
      <c r="H174" s="92">
        <f t="shared" si="210"/>
        <v>0</v>
      </c>
      <c r="I174" s="54">
        <v>4.5</v>
      </c>
      <c r="J174" s="56">
        <v>4.3499999999999996</v>
      </c>
      <c r="K174" s="54">
        <v>2.4500000000000002</v>
      </c>
      <c r="L174" s="57">
        <v>2</v>
      </c>
      <c r="M174" s="57">
        <v>142</v>
      </c>
      <c r="N174" s="57"/>
      <c r="O174" s="87" t="s">
        <v>133</v>
      </c>
      <c r="P174" s="24">
        <f t="shared" si="228"/>
        <v>13.3825</v>
      </c>
      <c r="Q174" s="24">
        <f t="shared" si="245"/>
        <v>7.6</v>
      </c>
      <c r="R174" s="24">
        <f t="shared" si="249"/>
        <v>3.587075</v>
      </c>
      <c r="S174" s="87">
        <v>7.78</v>
      </c>
      <c r="T174" s="21">
        <f t="shared" si="230"/>
        <v>4.8410000000000002</v>
      </c>
      <c r="U174" s="21"/>
      <c r="V174" s="24">
        <f t="shared" si="250"/>
        <v>1.97</v>
      </c>
      <c r="W174" s="24">
        <f t="shared" si="232"/>
        <v>2.125</v>
      </c>
      <c r="X174" s="24">
        <f t="shared" si="233"/>
        <v>2.9635986159169549</v>
      </c>
      <c r="Y174" s="25">
        <f t="shared" si="223"/>
        <v>1</v>
      </c>
      <c r="Z174" s="24">
        <f t="shared" si="211"/>
        <v>12.421037408208251</v>
      </c>
      <c r="AA174" s="21">
        <f t="shared" si="234"/>
        <v>1.5628424228561471</v>
      </c>
      <c r="AB174" s="24">
        <f t="shared" si="212"/>
        <v>2.952891645223501</v>
      </c>
      <c r="AC174" s="24">
        <f t="shared" si="225"/>
        <v>17.540053139552697</v>
      </c>
      <c r="AD174" s="58">
        <f t="shared" si="235"/>
        <v>282</v>
      </c>
      <c r="AE174" s="58">
        <f t="shared" si="236"/>
        <v>288</v>
      </c>
      <c r="AF174" s="21">
        <f t="shared" si="213"/>
        <v>2.5499999999999998</v>
      </c>
      <c r="AG174" s="77">
        <f t="shared" si="214"/>
        <v>0</v>
      </c>
      <c r="AH174" s="114">
        <f t="shared" si="224"/>
        <v>1.04</v>
      </c>
      <c r="AI174" s="59">
        <f t="shared" si="215"/>
        <v>122.0128953586908</v>
      </c>
      <c r="AJ174" s="59">
        <f t="shared" si="216"/>
        <v>116.54104780898659</v>
      </c>
      <c r="AK174" s="55">
        <v>7.6</v>
      </c>
      <c r="AL174" s="55">
        <v>1.97</v>
      </c>
      <c r="AM174" s="21">
        <f t="shared" si="237"/>
        <v>7.4859999999999998</v>
      </c>
      <c r="AN174" s="54">
        <v>7.6</v>
      </c>
      <c r="AO174" s="55">
        <v>0.09</v>
      </c>
      <c r="AP174" s="21">
        <f t="shared" ref="AP174:AP193" si="252">AN174*AO174*2/3</f>
        <v>0.45599999999999996</v>
      </c>
      <c r="AQ174" s="55">
        <v>5.4</v>
      </c>
      <c r="AR174" s="55">
        <v>0.28000000000000003</v>
      </c>
      <c r="AS174" s="21">
        <f t="shared" ref="AS174:AS193" si="253">AQ174*AR174*2/3</f>
        <v>1.0080000000000002</v>
      </c>
      <c r="AT174" s="54">
        <v>7.14</v>
      </c>
      <c r="AU174" s="54">
        <v>0.85</v>
      </c>
      <c r="AV174" s="21">
        <f t="shared" ref="AV174:AV183" si="254">AT174*AU174*0.5</f>
        <v>3.0345</v>
      </c>
      <c r="AW174" s="54">
        <v>2</v>
      </c>
      <c r="AX174" s="54">
        <v>0.16</v>
      </c>
      <c r="AY174" s="21">
        <f t="shared" ref="AY174:AY183" si="255">AW174*AX174*0.5</f>
        <v>0.16</v>
      </c>
      <c r="AZ174" s="54"/>
      <c r="BA174" s="54"/>
      <c r="BB174" s="21">
        <f t="shared" ref="BB174:BB183" si="256">AZ174*BA174*2/3</f>
        <v>0</v>
      </c>
      <c r="BC174" s="54"/>
      <c r="BD174" s="54"/>
      <c r="BE174" s="21">
        <f t="shared" ref="BE174:BE193" si="257">BC174*BD174*2/3</f>
        <v>0</v>
      </c>
      <c r="BF174" s="55">
        <v>1.07</v>
      </c>
      <c r="BG174" s="55">
        <v>0.06</v>
      </c>
      <c r="BH174" s="21">
        <f t="shared" ref="BH174:BH183" si="258">BF174*BG174*0.5</f>
        <v>3.2100000000000004E-2</v>
      </c>
      <c r="BI174" s="55"/>
      <c r="BJ174" s="55"/>
      <c r="BK174" s="21">
        <f t="shared" ref="BK174:BK193" si="259">BI174*BJ174*2/3</f>
        <v>0</v>
      </c>
      <c r="BL174" s="55"/>
      <c r="BM174" s="55"/>
      <c r="BN174" s="21">
        <f t="shared" ref="BN174:BN193" si="260">BL174*BM174*0.5</f>
        <v>0</v>
      </c>
      <c r="BO174" s="55"/>
      <c r="BP174" s="55"/>
      <c r="BQ174" s="21">
        <f t="shared" ref="BQ174:BQ193" si="261">BO174*BP174*0.5</f>
        <v>0</v>
      </c>
      <c r="BR174" s="55"/>
      <c r="BS174" s="21">
        <f t="shared" si="238"/>
        <v>12.176600000000001</v>
      </c>
      <c r="BT174" s="56">
        <v>5.15</v>
      </c>
      <c r="BU174" s="56">
        <v>1.5149999999999999</v>
      </c>
      <c r="BV174" s="21">
        <f t="shared" si="239"/>
        <v>3.901125</v>
      </c>
      <c r="BW174" s="77">
        <f t="shared" si="217"/>
        <v>5.15</v>
      </c>
      <c r="BX174" s="55"/>
      <c r="BY174" s="21">
        <f t="shared" si="240"/>
        <v>0</v>
      </c>
      <c r="BZ174" s="55">
        <v>4.79</v>
      </c>
      <c r="CA174" s="55">
        <v>-0.11</v>
      </c>
      <c r="CB174" s="21">
        <f t="shared" si="226"/>
        <v>-0.35126666666666667</v>
      </c>
      <c r="CC174" s="54">
        <v>1.595</v>
      </c>
      <c r="CD174" s="54">
        <v>3.5000000000000003E-2</v>
      </c>
      <c r="CE174" s="21">
        <f t="shared" si="227"/>
        <v>3.7216666666666669E-2</v>
      </c>
      <c r="CF174" s="21"/>
      <c r="CG174" s="21"/>
      <c r="CH174" s="21">
        <f t="shared" si="218"/>
        <v>0</v>
      </c>
      <c r="CI174" s="25">
        <f t="shared" si="219"/>
        <v>3.587075</v>
      </c>
      <c r="CJ174" s="54">
        <v>0.31</v>
      </c>
      <c r="CK174" s="21">
        <f t="shared" si="246"/>
        <v>1.2059</v>
      </c>
      <c r="CL174" s="55" t="s">
        <v>361</v>
      </c>
      <c r="CM174" s="55"/>
      <c r="CN174" s="60"/>
      <c r="CO174" s="55" t="s">
        <v>362</v>
      </c>
      <c r="CP174" s="55"/>
      <c r="CQ174" s="55"/>
      <c r="CR174" s="55"/>
      <c r="CS174" s="55"/>
      <c r="CT174" s="55"/>
      <c r="CU174" s="55"/>
      <c r="CV174" s="55"/>
      <c r="CW174" s="55"/>
      <c r="CX174" s="55"/>
      <c r="CY174" s="21">
        <f t="shared" si="241"/>
        <v>0</v>
      </c>
      <c r="CZ174" s="56"/>
      <c r="DA174" s="56"/>
      <c r="DB174" s="56"/>
      <c r="DC174" s="56"/>
      <c r="DD174" s="61">
        <f t="shared" si="221"/>
        <v>0</v>
      </c>
      <c r="DE174" s="21">
        <f t="shared" si="222"/>
        <v>0</v>
      </c>
      <c r="DF174" s="55"/>
      <c r="DG174" s="55"/>
      <c r="DH174" s="55"/>
      <c r="DI174" s="55"/>
      <c r="DJ174" s="104"/>
      <c r="DK174" s="53"/>
      <c r="DM174" s="58">
        <f t="shared" si="205"/>
        <v>634.78539123779808</v>
      </c>
      <c r="DN174" s="58">
        <f t="shared" si="242"/>
        <v>656.95</v>
      </c>
      <c r="DO174" s="21">
        <f t="shared" si="243"/>
        <v>1.034916696364077</v>
      </c>
      <c r="DP174" s="62">
        <f t="shared" si="251"/>
        <v>1</v>
      </c>
      <c r="DQ174" s="7" t="s">
        <v>130</v>
      </c>
      <c r="DR174" s="107">
        <f t="shared" si="206"/>
        <v>0</v>
      </c>
    </row>
    <row r="175" spans="1:244" ht="12.75" customHeight="1" x14ac:dyDescent="0.2">
      <c r="A175" s="53" t="s">
        <v>363</v>
      </c>
      <c r="B175" s="54">
        <v>1</v>
      </c>
      <c r="C175" s="92">
        <f t="shared" si="247"/>
        <v>124.70544414240715</v>
      </c>
      <c r="D175" s="92">
        <f t="shared" si="248"/>
        <v>119.39160001013381</v>
      </c>
      <c r="E175" s="92">
        <f>VLOOKUP(A175,[3]TRTOTAL!$A$7:$D$313,3,FALSE)</f>
        <v>124.70544414240715</v>
      </c>
      <c r="F175" s="92">
        <f>VLOOKUP(A175,[3]TRTOTAL!$A$7:$D$313,4,FALSE)</f>
        <v>119.39160001013381</v>
      </c>
      <c r="G175" s="92">
        <f t="shared" si="209"/>
        <v>0</v>
      </c>
      <c r="H175" s="92">
        <f t="shared" si="210"/>
        <v>0</v>
      </c>
      <c r="I175" s="54">
        <v>4.5</v>
      </c>
      <c r="J175" s="56">
        <v>4.3499999999999996</v>
      </c>
      <c r="K175" s="54">
        <v>2.4500000000000002</v>
      </c>
      <c r="L175" s="57">
        <v>1</v>
      </c>
      <c r="M175" s="57">
        <v>139</v>
      </c>
      <c r="N175" s="57"/>
      <c r="O175" s="87" t="s">
        <v>133</v>
      </c>
      <c r="P175" s="24">
        <f t="shared" si="228"/>
        <v>13.3825</v>
      </c>
      <c r="Q175" s="24">
        <f t="shared" si="245"/>
        <v>7.6</v>
      </c>
      <c r="R175" s="24">
        <f t="shared" si="249"/>
        <v>0</v>
      </c>
      <c r="S175" s="87">
        <v>7.78</v>
      </c>
      <c r="T175" s="21">
        <f t="shared" si="230"/>
        <v>0</v>
      </c>
      <c r="U175" s="21"/>
      <c r="V175" s="24">
        <f t="shared" si="250"/>
        <v>1.97</v>
      </c>
      <c r="W175" s="24">
        <f t="shared" si="232"/>
        <v>2.125</v>
      </c>
      <c r="X175" s="24">
        <f t="shared" si="233"/>
        <v>2.9635986159169549</v>
      </c>
      <c r="Y175" s="25">
        <f t="shared" si="223"/>
        <v>1</v>
      </c>
      <c r="Z175" s="24">
        <f t="shared" si="211"/>
        <v>12.421037408208251</v>
      </c>
      <c r="AA175" s="21">
        <f t="shared" si="234"/>
        <v>0</v>
      </c>
      <c r="AB175" s="24">
        <f t="shared" si="212"/>
        <v>0</v>
      </c>
      <c r="AC175" s="24">
        <f t="shared" si="225"/>
        <v>14.521037408208251</v>
      </c>
      <c r="AD175" s="58">
        <f t="shared" si="235"/>
        <v>214</v>
      </c>
      <c r="AE175" s="58">
        <f t="shared" si="236"/>
        <v>220</v>
      </c>
      <c r="AF175" s="21">
        <f t="shared" si="213"/>
        <v>2.1</v>
      </c>
      <c r="AG175" s="77">
        <f t="shared" si="214"/>
        <v>0</v>
      </c>
      <c r="AH175" s="114">
        <f t="shared" si="224"/>
        <v>1.04</v>
      </c>
      <c r="AI175" s="59">
        <f t="shared" si="215"/>
        <v>121.48147329910277</v>
      </c>
      <c r="AJ175" s="59">
        <f t="shared" si="216"/>
        <v>115.15347160115903</v>
      </c>
      <c r="AK175" s="55">
        <v>7.6</v>
      </c>
      <c r="AL175" s="55">
        <v>1.97</v>
      </c>
      <c r="AM175" s="21">
        <f t="shared" si="237"/>
        <v>7.4859999999999998</v>
      </c>
      <c r="AN175" s="54">
        <v>7.6</v>
      </c>
      <c r="AO175" s="55">
        <v>0.09</v>
      </c>
      <c r="AP175" s="21">
        <f t="shared" si="252"/>
        <v>0.45599999999999996</v>
      </c>
      <c r="AQ175" s="55">
        <v>5.4</v>
      </c>
      <c r="AR175" s="55">
        <v>0.28000000000000003</v>
      </c>
      <c r="AS175" s="21">
        <f t="shared" si="253"/>
        <v>1.0080000000000002</v>
      </c>
      <c r="AT175" s="54">
        <v>7.14</v>
      </c>
      <c r="AU175" s="54">
        <v>0.85</v>
      </c>
      <c r="AV175" s="21">
        <f t="shared" si="254"/>
        <v>3.0345</v>
      </c>
      <c r="AW175" s="54">
        <v>2</v>
      </c>
      <c r="AX175" s="54">
        <v>0.16</v>
      </c>
      <c r="AY175" s="21">
        <f t="shared" si="255"/>
        <v>0.16</v>
      </c>
      <c r="AZ175" s="54"/>
      <c r="BA175" s="54"/>
      <c r="BB175" s="21">
        <f t="shared" si="256"/>
        <v>0</v>
      </c>
      <c r="BC175" s="54"/>
      <c r="BD175" s="54"/>
      <c r="BE175" s="21">
        <f t="shared" si="257"/>
        <v>0</v>
      </c>
      <c r="BF175" s="55">
        <v>1.07</v>
      </c>
      <c r="BG175" s="55">
        <v>0.06</v>
      </c>
      <c r="BH175" s="21">
        <f t="shared" si="258"/>
        <v>3.2100000000000004E-2</v>
      </c>
      <c r="BI175" s="55"/>
      <c r="BJ175" s="55"/>
      <c r="BK175" s="21">
        <f t="shared" si="259"/>
        <v>0</v>
      </c>
      <c r="BL175" s="55"/>
      <c r="BM175" s="55"/>
      <c r="BN175" s="21">
        <f t="shared" si="260"/>
        <v>0</v>
      </c>
      <c r="BO175" s="55"/>
      <c r="BP175" s="55"/>
      <c r="BQ175" s="21">
        <f t="shared" si="261"/>
        <v>0</v>
      </c>
      <c r="BR175" s="55"/>
      <c r="BS175" s="21">
        <f t="shared" si="238"/>
        <v>12.176600000000001</v>
      </c>
      <c r="BT175" s="56">
        <v>0</v>
      </c>
      <c r="BU175" s="56"/>
      <c r="BV175" s="21">
        <f t="shared" si="239"/>
        <v>0</v>
      </c>
      <c r="BW175" s="77">
        <f t="shared" si="217"/>
        <v>0</v>
      </c>
      <c r="BX175" s="55"/>
      <c r="BY175" s="21">
        <f t="shared" si="240"/>
        <v>0</v>
      </c>
      <c r="BZ175" s="55"/>
      <c r="CA175" s="55"/>
      <c r="CB175" s="21">
        <f t="shared" si="226"/>
        <v>0</v>
      </c>
      <c r="CC175" s="54"/>
      <c r="CD175" s="54"/>
      <c r="CE175" s="21">
        <f t="shared" si="227"/>
        <v>0</v>
      </c>
      <c r="CF175" s="21"/>
      <c r="CG175" s="21"/>
      <c r="CH175" s="21">
        <f t="shared" si="218"/>
        <v>0</v>
      </c>
      <c r="CI175" s="25">
        <f t="shared" si="219"/>
        <v>0</v>
      </c>
      <c r="CJ175" s="54">
        <v>0.31</v>
      </c>
      <c r="CK175" s="21">
        <f t="shared" si="246"/>
        <v>1.2059</v>
      </c>
      <c r="CL175" s="55" t="s">
        <v>361</v>
      </c>
      <c r="CM175" s="55"/>
      <c r="CN175" s="60"/>
      <c r="CO175" s="55" t="s">
        <v>362</v>
      </c>
      <c r="CP175" s="55"/>
      <c r="CQ175" s="55"/>
      <c r="CR175" s="55"/>
      <c r="CS175" s="55"/>
      <c r="CT175" s="55"/>
      <c r="CU175" s="55"/>
      <c r="CV175" s="55"/>
      <c r="CW175" s="55"/>
      <c r="CX175" s="55"/>
      <c r="CY175" s="21">
        <f t="shared" si="241"/>
        <v>0</v>
      </c>
      <c r="CZ175" s="56"/>
      <c r="DA175" s="56"/>
      <c r="DB175" s="56"/>
      <c r="DC175" s="56"/>
      <c r="DD175" s="61">
        <f t="shared" si="221"/>
        <v>0</v>
      </c>
      <c r="DE175" s="21">
        <f t="shared" si="222"/>
        <v>0</v>
      </c>
      <c r="DF175" s="55"/>
      <c r="DG175" s="55"/>
      <c r="DH175" s="55"/>
      <c r="DI175" s="55"/>
      <c r="DJ175" s="104"/>
      <c r="DK175" s="53"/>
      <c r="DM175" s="58">
        <f t="shared" si="205"/>
        <v>544.37101393919988</v>
      </c>
      <c r="DN175" s="58">
        <f t="shared" si="242"/>
        <v>429.02499999999998</v>
      </c>
      <c r="DO175" s="21">
        <f t="shared" si="243"/>
        <v>0.78811139648210082</v>
      </c>
      <c r="DP175" s="62">
        <f t="shared" si="251"/>
        <v>1.0265387861683777</v>
      </c>
      <c r="DQ175" s="7" t="s">
        <v>130</v>
      </c>
      <c r="DR175" s="107">
        <f t="shared" si="206"/>
        <v>0</v>
      </c>
    </row>
    <row r="176" spans="1:244" ht="12.75" customHeight="1" x14ac:dyDescent="0.2">
      <c r="A176" s="53" t="s">
        <v>364</v>
      </c>
      <c r="B176" s="54">
        <v>1</v>
      </c>
      <c r="C176" s="92">
        <f t="shared" si="247"/>
        <v>115.38852202977633</v>
      </c>
      <c r="D176" s="92">
        <f t="shared" si="248"/>
        <v>112.70683006965928</v>
      </c>
      <c r="E176" s="92">
        <f>VLOOKUP(A176,[3]TRTOTAL!$A$7:$D$313,3,FALSE)</f>
        <v>115.38852202977633</v>
      </c>
      <c r="F176" s="92">
        <f>VLOOKUP(A176,[3]TRTOTAL!$A$7:$D$313,4,FALSE)</f>
        <v>112.70683006965928</v>
      </c>
      <c r="G176" s="92">
        <f t="shared" si="209"/>
        <v>0</v>
      </c>
      <c r="H176" s="92">
        <f t="shared" si="210"/>
        <v>0</v>
      </c>
      <c r="I176" s="54">
        <v>4.5</v>
      </c>
      <c r="J176" s="56">
        <v>4.54</v>
      </c>
      <c r="K176" s="54">
        <v>2.4500000000000002</v>
      </c>
      <c r="L176" s="57">
        <v>1</v>
      </c>
      <c r="M176" s="57">
        <v>142</v>
      </c>
      <c r="N176" s="57"/>
      <c r="O176" s="87" t="s">
        <v>133</v>
      </c>
      <c r="P176" s="24">
        <f t="shared" si="228"/>
        <v>13.3825</v>
      </c>
      <c r="Q176" s="24">
        <f t="shared" si="245"/>
        <v>7.6</v>
      </c>
      <c r="R176" s="24">
        <f t="shared" si="249"/>
        <v>3.587075</v>
      </c>
      <c r="S176" s="87">
        <v>7.78</v>
      </c>
      <c r="T176" s="21">
        <f t="shared" si="230"/>
        <v>4.8410000000000002</v>
      </c>
      <c r="U176" s="21"/>
      <c r="V176" s="24">
        <f t="shared" si="250"/>
        <v>1.97</v>
      </c>
      <c r="W176" s="24">
        <f t="shared" si="232"/>
        <v>2.125</v>
      </c>
      <c r="X176" s="24">
        <f t="shared" si="233"/>
        <v>2.9635986159169549</v>
      </c>
      <c r="Y176" s="25">
        <f t="shared" si="223"/>
        <v>1</v>
      </c>
      <c r="Z176" s="24">
        <f t="shared" si="211"/>
        <v>12.421037408208251</v>
      </c>
      <c r="AA176" s="21">
        <f t="shared" si="234"/>
        <v>1.5628424228561471</v>
      </c>
      <c r="AB176" s="24">
        <f t="shared" si="212"/>
        <v>2.952891645223501</v>
      </c>
      <c r="AC176" s="24">
        <f t="shared" si="225"/>
        <v>17.090053139552698</v>
      </c>
      <c r="AD176" s="58">
        <f t="shared" si="235"/>
        <v>217</v>
      </c>
      <c r="AE176" s="58">
        <f t="shared" si="236"/>
        <v>223</v>
      </c>
      <c r="AF176" s="21">
        <f t="shared" si="213"/>
        <v>2.1</v>
      </c>
      <c r="AG176" s="77">
        <f t="shared" si="214"/>
        <v>0</v>
      </c>
      <c r="AH176" s="114">
        <f t="shared" si="224"/>
        <v>1.04</v>
      </c>
      <c r="AI176" s="59">
        <f t="shared" si="215"/>
        <v>110.62523532625391</v>
      </c>
      <c r="AJ176" s="59">
        <f t="shared" si="216"/>
        <v>106.98440073044091</v>
      </c>
      <c r="AK176" s="55">
        <v>7.6</v>
      </c>
      <c r="AL176" s="55">
        <v>1.97</v>
      </c>
      <c r="AM176" s="21">
        <f t="shared" si="237"/>
        <v>7.4859999999999998</v>
      </c>
      <c r="AN176" s="54">
        <v>7.6</v>
      </c>
      <c r="AO176" s="55">
        <v>0.09</v>
      </c>
      <c r="AP176" s="21">
        <f t="shared" si="252"/>
        <v>0.45599999999999996</v>
      </c>
      <c r="AQ176" s="55">
        <v>5.4</v>
      </c>
      <c r="AR176" s="55">
        <v>0.28000000000000003</v>
      </c>
      <c r="AS176" s="21">
        <f t="shared" si="253"/>
        <v>1.0080000000000002</v>
      </c>
      <c r="AT176" s="54">
        <v>7.14</v>
      </c>
      <c r="AU176" s="54">
        <v>0.85</v>
      </c>
      <c r="AV176" s="21">
        <f t="shared" si="254"/>
        <v>3.0345</v>
      </c>
      <c r="AW176" s="54">
        <v>2</v>
      </c>
      <c r="AX176" s="54">
        <v>0.16</v>
      </c>
      <c r="AY176" s="21">
        <f t="shared" si="255"/>
        <v>0.16</v>
      </c>
      <c r="AZ176" s="54"/>
      <c r="BA176" s="54"/>
      <c r="BB176" s="21">
        <f t="shared" si="256"/>
        <v>0</v>
      </c>
      <c r="BC176" s="54"/>
      <c r="BD176" s="54"/>
      <c r="BE176" s="21">
        <f t="shared" si="257"/>
        <v>0</v>
      </c>
      <c r="BF176" s="55">
        <v>1.07</v>
      </c>
      <c r="BG176" s="55">
        <v>0.06</v>
      </c>
      <c r="BH176" s="21">
        <f t="shared" si="258"/>
        <v>3.2100000000000004E-2</v>
      </c>
      <c r="BI176" s="55"/>
      <c r="BJ176" s="55"/>
      <c r="BK176" s="21">
        <f t="shared" si="259"/>
        <v>0</v>
      </c>
      <c r="BL176" s="55"/>
      <c r="BM176" s="55"/>
      <c r="BN176" s="21">
        <f t="shared" si="260"/>
        <v>0</v>
      </c>
      <c r="BO176" s="55"/>
      <c r="BP176" s="55"/>
      <c r="BQ176" s="21">
        <f t="shared" si="261"/>
        <v>0</v>
      </c>
      <c r="BR176" s="55"/>
      <c r="BS176" s="21">
        <f t="shared" si="238"/>
        <v>12.176600000000001</v>
      </c>
      <c r="BT176" s="56">
        <v>5.15</v>
      </c>
      <c r="BU176" s="56">
        <v>1.5149999999999999</v>
      </c>
      <c r="BV176" s="21">
        <f t="shared" si="239"/>
        <v>3.901125</v>
      </c>
      <c r="BW176" s="77">
        <f t="shared" si="217"/>
        <v>5.15</v>
      </c>
      <c r="BX176" s="55"/>
      <c r="BY176" s="21">
        <f t="shared" si="240"/>
        <v>0</v>
      </c>
      <c r="BZ176" s="55">
        <v>4.79</v>
      </c>
      <c r="CA176" s="55">
        <v>-0.11</v>
      </c>
      <c r="CB176" s="21">
        <f t="shared" si="226"/>
        <v>-0.35126666666666667</v>
      </c>
      <c r="CC176" s="55">
        <v>1.595</v>
      </c>
      <c r="CD176" s="55">
        <v>3.5000000000000003E-2</v>
      </c>
      <c r="CE176" s="21">
        <f t="shared" si="227"/>
        <v>3.7216666666666669E-2</v>
      </c>
      <c r="CF176" s="21"/>
      <c r="CG176" s="21"/>
      <c r="CH176" s="21">
        <f t="shared" si="218"/>
        <v>0</v>
      </c>
      <c r="CI176" s="25">
        <f t="shared" si="219"/>
        <v>3.587075</v>
      </c>
      <c r="CJ176" s="54">
        <v>0.31</v>
      </c>
      <c r="CK176" s="21">
        <f t="shared" si="246"/>
        <v>1.2059</v>
      </c>
      <c r="CL176" s="55" t="s">
        <v>361</v>
      </c>
      <c r="CM176" s="55"/>
      <c r="CN176" s="60"/>
      <c r="CO176" s="55" t="s">
        <v>362</v>
      </c>
      <c r="CP176" s="55"/>
      <c r="CQ176" s="55"/>
      <c r="CR176" s="55"/>
      <c r="CS176" s="55"/>
      <c r="CT176" s="55"/>
      <c r="CU176" s="55"/>
      <c r="CV176" s="55"/>
      <c r="CW176" s="55"/>
      <c r="CX176" s="55"/>
      <c r="CY176" s="21">
        <f t="shared" si="241"/>
        <v>0</v>
      </c>
      <c r="CZ176" s="56"/>
      <c r="DA176" s="56"/>
      <c r="DB176" s="56"/>
      <c r="DC176" s="56"/>
      <c r="DD176" s="61">
        <f t="shared" si="221"/>
        <v>0</v>
      </c>
      <c r="DE176" s="21">
        <f t="shared" si="222"/>
        <v>0</v>
      </c>
      <c r="DF176" s="55"/>
      <c r="DG176" s="55"/>
      <c r="DH176" s="55"/>
      <c r="DI176" s="55"/>
      <c r="DJ176" s="104"/>
      <c r="DK176" s="53"/>
      <c r="DM176" s="58">
        <f t="shared" si="205"/>
        <v>634.78539123779808</v>
      </c>
      <c r="DN176" s="58">
        <f t="shared" si="242"/>
        <v>432.70000000000005</v>
      </c>
      <c r="DO176" s="21">
        <f t="shared" si="243"/>
        <v>0.68164769695827099</v>
      </c>
      <c r="DP176" s="62">
        <f t="shared" si="251"/>
        <v>1.0430578673073518</v>
      </c>
      <c r="DQ176" s="7">
        <v>0</v>
      </c>
      <c r="DR176" s="107">
        <f t="shared" si="206"/>
        <v>0</v>
      </c>
    </row>
    <row r="177" spans="1:137" ht="12.75" customHeight="1" x14ac:dyDescent="0.2">
      <c r="A177" s="53" t="s">
        <v>365</v>
      </c>
      <c r="B177" s="54">
        <v>2</v>
      </c>
      <c r="C177" s="92">
        <f t="shared" si="247"/>
        <v>118.45347728093307</v>
      </c>
      <c r="D177" s="92">
        <f t="shared" si="248"/>
        <v>111.75918292694323</v>
      </c>
      <c r="E177" s="92">
        <f>VLOOKUP(A177,[3]TRTOTAL!$A$7:$D$313,3,FALSE)</f>
        <v>118.45347728093307</v>
      </c>
      <c r="F177" s="92">
        <f>VLOOKUP(A177,[3]TRTOTAL!$A$7:$D$313,4,FALSE)</f>
        <v>111.75918292694323</v>
      </c>
      <c r="G177" s="92">
        <f t="shared" si="209"/>
        <v>0</v>
      </c>
      <c r="H177" s="92">
        <f t="shared" si="210"/>
        <v>0</v>
      </c>
      <c r="I177" s="54">
        <v>5.08</v>
      </c>
      <c r="J177" s="56">
        <v>5.07</v>
      </c>
      <c r="K177" s="54">
        <v>2.5</v>
      </c>
      <c r="L177" s="57">
        <v>2</v>
      </c>
      <c r="M177" s="57">
        <v>147</v>
      </c>
      <c r="N177" s="57"/>
      <c r="O177" s="87" t="s">
        <v>133</v>
      </c>
      <c r="P177" s="24">
        <f t="shared" si="228"/>
        <v>14.08</v>
      </c>
      <c r="Q177" s="24">
        <f t="shared" si="245"/>
        <v>7.91</v>
      </c>
      <c r="R177" s="24">
        <f t="shared" si="249"/>
        <v>4.3225000000000007</v>
      </c>
      <c r="S177" s="87">
        <v>8.23</v>
      </c>
      <c r="T177" s="21">
        <f t="shared" si="230"/>
        <v>4.6436000000000002</v>
      </c>
      <c r="U177" s="21"/>
      <c r="V177" s="24">
        <f t="shared" si="250"/>
        <v>2.3729999999999998</v>
      </c>
      <c r="W177" s="24">
        <f t="shared" si="232"/>
        <v>2.5329999999999999</v>
      </c>
      <c r="X177" s="24">
        <f t="shared" si="233"/>
        <v>2.1944832747800103</v>
      </c>
      <c r="Y177" s="25">
        <f t="shared" si="223"/>
        <v>1</v>
      </c>
      <c r="Z177" s="24">
        <f t="shared" si="211"/>
        <v>11.942002013603085</v>
      </c>
      <c r="AA177" s="21">
        <f t="shared" si="234"/>
        <v>1.4114285714285717</v>
      </c>
      <c r="AB177" s="24">
        <f t="shared" si="212"/>
        <v>3.4511606005038176</v>
      </c>
      <c r="AC177" s="24">
        <f t="shared" si="225"/>
        <v>18.094511736041405</v>
      </c>
      <c r="AD177" s="58">
        <f t="shared" si="235"/>
        <v>297</v>
      </c>
      <c r="AE177" s="58">
        <f t="shared" si="236"/>
        <v>303</v>
      </c>
      <c r="AF177" s="21">
        <f t="shared" si="213"/>
        <v>3.15</v>
      </c>
      <c r="AG177" s="77">
        <f t="shared" si="214"/>
        <v>0</v>
      </c>
      <c r="AH177" s="114">
        <f t="shared" si="224"/>
        <v>1.04</v>
      </c>
      <c r="AI177" s="59">
        <f t="shared" si="215"/>
        <v>118.45347728093307</v>
      </c>
      <c r="AJ177" s="59">
        <f t="shared" si="216"/>
        <v>111.75918292694323</v>
      </c>
      <c r="AK177" s="55"/>
      <c r="AL177" s="55"/>
      <c r="AM177" s="21">
        <f t="shared" si="237"/>
        <v>0</v>
      </c>
      <c r="AN177" s="54">
        <v>7.91</v>
      </c>
      <c r="AO177" s="55"/>
      <c r="AP177" s="21">
        <f t="shared" si="252"/>
        <v>0</v>
      </c>
      <c r="AQ177" s="55"/>
      <c r="AR177" s="55"/>
      <c r="AS177" s="21">
        <f t="shared" si="253"/>
        <v>0</v>
      </c>
      <c r="AT177" s="54"/>
      <c r="AU177" s="54"/>
      <c r="AV177" s="21">
        <f t="shared" si="254"/>
        <v>0</v>
      </c>
      <c r="AW177" s="54"/>
      <c r="AX177" s="54"/>
      <c r="AY177" s="21">
        <f t="shared" si="255"/>
        <v>0</v>
      </c>
      <c r="AZ177" s="54"/>
      <c r="BA177" s="54"/>
      <c r="BB177" s="21">
        <f t="shared" si="256"/>
        <v>0</v>
      </c>
      <c r="BC177" s="54"/>
      <c r="BD177" s="54"/>
      <c r="BE177" s="21">
        <f t="shared" si="257"/>
        <v>0</v>
      </c>
      <c r="BF177" s="55"/>
      <c r="BG177" s="55"/>
      <c r="BH177" s="21">
        <f t="shared" si="258"/>
        <v>0</v>
      </c>
      <c r="BI177" s="55"/>
      <c r="BJ177" s="55"/>
      <c r="BK177" s="21">
        <f t="shared" si="259"/>
        <v>0</v>
      </c>
      <c r="BL177" s="55"/>
      <c r="BM177" s="55"/>
      <c r="BN177" s="21">
        <f t="shared" si="260"/>
        <v>0</v>
      </c>
      <c r="BO177" s="55"/>
      <c r="BP177" s="55"/>
      <c r="BQ177" s="21">
        <f t="shared" si="261"/>
        <v>0</v>
      </c>
      <c r="BR177" s="55"/>
      <c r="BS177" s="21">
        <f t="shared" si="238"/>
        <v>0</v>
      </c>
      <c r="BT177" s="56">
        <v>4.9400000000000004</v>
      </c>
      <c r="BU177" s="56">
        <v>1.75</v>
      </c>
      <c r="BV177" s="21">
        <f t="shared" si="239"/>
        <v>4.3225000000000007</v>
      </c>
      <c r="BW177" s="77">
        <f t="shared" si="217"/>
        <v>4.9400000000000004</v>
      </c>
      <c r="BX177" s="55"/>
      <c r="BY177" s="21">
        <f t="shared" si="240"/>
        <v>0</v>
      </c>
      <c r="BZ177" s="55"/>
      <c r="CA177" s="55"/>
      <c r="CB177" s="21">
        <f t="shared" si="226"/>
        <v>0</v>
      </c>
      <c r="CC177" s="55"/>
      <c r="CD177" s="55"/>
      <c r="CE177" s="21">
        <f t="shared" si="227"/>
        <v>0</v>
      </c>
      <c r="CF177" s="21"/>
      <c r="CG177" s="21"/>
      <c r="CH177" s="21">
        <f t="shared" si="218"/>
        <v>0</v>
      </c>
      <c r="CI177" s="25">
        <f t="shared" si="219"/>
        <v>4.3225000000000007</v>
      </c>
      <c r="CJ177" s="54"/>
      <c r="CK177" s="21">
        <f t="shared" si="246"/>
        <v>0</v>
      </c>
      <c r="CL177" s="55"/>
      <c r="CM177" s="55"/>
      <c r="CN177" s="60"/>
      <c r="CO177" s="55" t="s">
        <v>226</v>
      </c>
      <c r="CP177" s="55"/>
      <c r="CQ177" s="55"/>
      <c r="CR177" s="55"/>
      <c r="CS177" s="55"/>
      <c r="CT177" s="55"/>
      <c r="CU177" s="55"/>
      <c r="CV177" s="55"/>
      <c r="CW177" s="55"/>
      <c r="CX177" s="55"/>
      <c r="CY177" s="21"/>
      <c r="CZ177" s="56"/>
      <c r="DA177" s="56"/>
      <c r="DB177" s="56"/>
      <c r="DC177" s="56"/>
      <c r="DD177" s="61">
        <f t="shared" si="221"/>
        <v>0</v>
      </c>
      <c r="DE177" s="21">
        <f t="shared" si="222"/>
        <v>0</v>
      </c>
      <c r="DF177" s="55">
        <v>14.08</v>
      </c>
      <c r="DG177" s="55"/>
      <c r="DH177" s="55"/>
      <c r="DI177" s="55"/>
      <c r="DJ177" s="104"/>
      <c r="DK177" s="53"/>
      <c r="DM177" s="58">
        <f t="shared" si="205"/>
        <v>696.75161875011838</v>
      </c>
      <c r="DN177" s="58">
        <f t="shared" si="242"/>
        <v>708.75</v>
      </c>
      <c r="DO177" s="21">
        <f t="shared" si="243"/>
        <v>1.0172204569418943</v>
      </c>
      <c r="DP177" s="62">
        <f t="shared" si="251"/>
        <v>1</v>
      </c>
      <c r="DQ177" s="7" t="s">
        <v>130</v>
      </c>
      <c r="DR177" s="107">
        <f t="shared" si="206"/>
        <v>0</v>
      </c>
      <c r="DS177" s="36"/>
      <c r="DT177" s="36"/>
      <c r="DU177" s="36"/>
      <c r="DV177" s="36"/>
      <c r="DW177" s="36"/>
      <c r="DX177" s="36"/>
      <c r="DY177" s="36"/>
      <c r="DZ177" s="36"/>
      <c r="EB177" s="36"/>
      <c r="EC177" s="36"/>
      <c r="ED177" s="36"/>
      <c r="EF177" s="67"/>
      <c r="EG177" s="67"/>
    </row>
    <row r="178" spans="1:137" ht="12.75" customHeight="1" x14ac:dyDescent="0.2">
      <c r="A178" s="53" t="s">
        <v>367</v>
      </c>
      <c r="B178" s="54">
        <v>2</v>
      </c>
      <c r="C178" s="92">
        <f t="shared" si="247"/>
        <v>109.98047075367163</v>
      </c>
      <c r="D178" s="92">
        <f t="shared" si="248"/>
        <v>104.50715124882467</v>
      </c>
      <c r="E178" s="92">
        <f>VLOOKUP(A178,[3]TRTOTAL!$A$7:$D$313,3,FALSE)</f>
        <v>109.98047075367163</v>
      </c>
      <c r="F178" s="92">
        <f>VLOOKUP(A178,[3]TRTOTAL!$A$7:$D$313,4,FALSE)</f>
        <v>104.50715124882467</v>
      </c>
      <c r="G178" s="92">
        <f t="shared" si="209"/>
        <v>0</v>
      </c>
      <c r="H178" s="92">
        <f t="shared" si="210"/>
        <v>0</v>
      </c>
      <c r="I178" s="54">
        <v>5.14</v>
      </c>
      <c r="J178" s="56">
        <v>5.14</v>
      </c>
      <c r="K178" s="54">
        <v>2.44</v>
      </c>
      <c r="L178" s="57">
        <v>2</v>
      </c>
      <c r="M178" s="57">
        <v>155</v>
      </c>
      <c r="N178" s="57"/>
      <c r="O178" s="87"/>
      <c r="P178" s="24">
        <f t="shared" si="228"/>
        <v>15.5</v>
      </c>
      <c r="Q178" s="24">
        <f t="shared" si="245"/>
        <v>7.85</v>
      </c>
      <c r="R178" s="24">
        <f t="shared" si="249"/>
        <v>4.12</v>
      </c>
      <c r="S178" s="87">
        <v>8.1999999999999993</v>
      </c>
      <c r="T178" s="21">
        <f t="shared" si="230"/>
        <v>5</v>
      </c>
      <c r="U178" s="21"/>
      <c r="V178" s="24">
        <f t="shared" si="250"/>
        <v>2.355</v>
      </c>
      <c r="W178" s="24">
        <f t="shared" si="232"/>
        <v>2.5150000000000001</v>
      </c>
      <c r="X178" s="24">
        <f t="shared" si="233"/>
        <v>2.4505057132354975</v>
      </c>
      <c r="Y178" s="25">
        <f t="shared" si="223"/>
        <v>1</v>
      </c>
      <c r="Z178" s="24">
        <f t="shared" si="211"/>
        <v>13.588866019048755</v>
      </c>
      <c r="AA178" s="21">
        <f t="shared" si="234"/>
        <v>0</v>
      </c>
      <c r="AB178" s="24">
        <f t="shared" si="212"/>
        <v>3.7080000000000002</v>
      </c>
      <c r="AC178" s="24">
        <f t="shared" si="225"/>
        <v>19.964826019048758</v>
      </c>
      <c r="AD178" s="58">
        <f t="shared" si="235"/>
        <v>305</v>
      </c>
      <c r="AE178" s="58">
        <f t="shared" si="236"/>
        <v>311</v>
      </c>
      <c r="AF178" s="21">
        <f t="shared" si="213"/>
        <v>3.15</v>
      </c>
      <c r="AG178" s="77">
        <f t="shared" si="214"/>
        <v>0</v>
      </c>
      <c r="AH178" s="114">
        <f t="shared" si="224"/>
        <v>1</v>
      </c>
      <c r="AI178" s="59">
        <f t="shared" si="215"/>
        <v>109.20026773792021</v>
      </c>
      <c r="AJ178" s="59">
        <f t="shared" si="216"/>
        <v>103.76577603908817</v>
      </c>
      <c r="AK178" s="55"/>
      <c r="AL178" s="55"/>
      <c r="AM178" s="21">
        <f t="shared" si="237"/>
        <v>0</v>
      </c>
      <c r="AN178" s="54">
        <v>7.85</v>
      </c>
      <c r="AO178" s="55"/>
      <c r="AP178" s="21">
        <f t="shared" si="252"/>
        <v>0</v>
      </c>
      <c r="AQ178" s="55"/>
      <c r="AR178" s="55"/>
      <c r="AS178" s="21">
        <f t="shared" si="253"/>
        <v>0</v>
      </c>
      <c r="AT178" s="54"/>
      <c r="AU178" s="54"/>
      <c r="AV178" s="21">
        <f t="shared" si="254"/>
        <v>0</v>
      </c>
      <c r="AW178" s="54"/>
      <c r="AX178" s="54"/>
      <c r="AY178" s="21">
        <f t="shared" si="255"/>
        <v>0</v>
      </c>
      <c r="AZ178" s="54"/>
      <c r="BA178" s="54"/>
      <c r="BB178" s="21">
        <f t="shared" si="256"/>
        <v>0</v>
      </c>
      <c r="BC178" s="54"/>
      <c r="BD178" s="54"/>
      <c r="BE178" s="21">
        <f t="shared" si="257"/>
        <v>0</v>
      </c>
      <c r="BF178" s="55"/>
      <c r="BG178" s="55"/>
      <c r="BH178" s="21">
        <f t="shared" si="258"/>
        <v>0</v>
      </c>
      <c r="BI178" s="55"/>
      <c r="BJ178" s="55"/>
      <c r="BK178" s="21">
        <f t="shared" si="259"/>
        <v>0</v>
      </c>
      <c r="BL178" s="55"/>
      <c r="BM178" s="55"/>
      <c r="BN178" s="21">
        <f t="shared" si="260"/>
        <v>0</v>
      </c>
      <c r="BO178" s="55"/>
      <c r="BP178" s="55"/>
      <c r="BQ178" s="21">
        <f t="shared" si="261"/>
        <v>0</v>
      </c>
      <c r="BR178" s="55"/>
      <c r="BS178" s="21">
        <f t="shared" si="238"/>
        <v>0</v>
      </c>
      <c r="BT178" s="56"/>
      <c r="BU178" s="56"/>
      <c r="BV178" s="21"/>
      <c r="BW178" s="77">
        <f t="shared" si="217"/>
        <v>0</v>
      </c>
      <c r="BX178" s="55"/>
      <c r="BY178" s="21"/>
      <c r="BZ178" s="55"/>
      <c r="CA178" s="55"/>
      <c r="CB178" s="21"/>
      <c r="CC178" s="54"/>
      <c r="CD178" s="54"/>
      <c r="CE178" s="21"/>
      <c r="CF178" s="21"/>
      <c r="CG178" s="21"/>
      <c r="CH178" s="21">
        <f t="shared" si="218"/>
        <v>0</v>
      </c>
      <c r="CI178" s="25">
        <f t="shared" si="219"/>
        <v>4.12</v>
      </c>
      <c r="CJ178" s="54"/>
      <c r="CK178" s="21">
        <f t="shared" si="246"/>
        <v>0</v>
      </c>
      <c r="CL178" s="55"/>
      <c r="CM178" s="55"/>
      <c r="CN178" s="60"/>
      <c r="CO178" s="55" t="s">
        <v>226</v>
      </c>
      <c r="CP178" s="55"/>
      <c r="CQ178" s="55"/>
      <c r="CR178" s="55"/>
      <c r="CS178" s="55"/>
      <c r="CT178" s="55"/>
      <c r="CU178" s="55"/>
      <c r="CV178" s="55"/>
      <c r="CW178" s="55"/>
      <c r="CX178" s="55"/>
      <c r="CY178" s="21"/>
      <c r="CZ178" s="56"/>
      <c r="DA178" s="56"/>
      <c r="DB178" s="56"/>
      <c r="DC178" s="56"/>
      <c r="DD178" s="61">
        <f t="shared" si="221"/>
        <v>0</v>
      </c>
      <c r="DE178" s="21">
        <f t="shared" si="222"/>
        <v>0</v>
      </c>
      <c r="DF178" s="55">
        <v>15.5</v>
      </c>
      <c r="DG178" s="55">
        <v>4.12</v>
      </c>
      <c r="DH178" s="55">
        <v>5</v>
      </c>
      <c r="DI178" s="55"/>
      <c r="DJ178" s="104"/>
      <c r="DK178" s="53"/>
      <c r="DM178" s="58">
        <f t="shared" si="205"/>
        <v>752.24382911999987</v>
      </c>
      <c r="DN178" s="58">
        <f t="shared" si="242"/>
        <v>705.1</v>
      </c>
      <c r="DO178" s="21">
        <f t="shared" si="243"/>
        <v>0.93732905835179758</v>
      </c>
      <c r="DP178" s="62">
        <f t="shared" si="251"/>
        <v>1.0071446987439985</v>
      </c>
      <c r="DQ178" s="7" t="s">
        <v>130</v>
      </c>
      <c r="DR178" s="107">
        <f t="shared" si="206"/>
        <v>0</v>
      </c>
    </row>
    <row r="179" spans="1:137" ht="12.75" customHeight="1" x14ac:dyDescent="0.2">
      <c r="A179" s="53" t="s">
        <v>368</v>
      </c>
      <c r="B179" s="54">
        <v>2</v>
      </c>
      <c r="C179" s="92">
        <f t="shared" si="247"/>
        <v>106.91585696775964</v>
      </c>
      <c r="D179" s="92">
        <f t="shared" si="248"/>
        <v>102.10610540553334</v>
      </c>
      <c r="E179" s="92">
        <f>VLOOKUP(A179,[3]TRTOTAL!$A$7:$D$313,3,FALSE)</f>
        <v>105.72279092507628</v>
      </c>
      <c r="F179" s="92">
        <f>VLOOKUP(A179,[3]TRTOTAL!$A$7:$D$313,4,FALSE)</f>
        <v>100.96671102040744</v>
      </c>
      <c r="G179" s="92">
        <f t="shared" si="209"/>
        <v>1.1930660426833555</v>
      </c>
      <c r="H179" s="92">
        <f t="shared" si="210"/>
        <v>1.1393943851258967</v>
      </c>
      <c r="I179" s="54">
        <v>5.47</v>
      </c>
      <c r="J179" s="56">
        <v>5.45</v>
      </c>
      <c r="K179" s="54">
        <v>2.59</v>
      </c>
      <c r="L179" s="57">
        <v>2</v>
      </c>
      <c r="M179" s="57">
        <v>176</v>
      </c>
      <c r="N179" s="57"/>
      <c r="O179" s="87"/>
      <c r="P179" s="24">
        <f t="shared" si="228"/>
        <v>16.264347166666667</v>
      </c>
      <c r="Q179" s="24">
        <f t="shared" si="245"/>
        <v>8.4359999999999999</v>
      </c>
      <c r="R179" s="24">
        <f t="shared" si="249"/>
        <v>4.7186699999999995</v>
      </c>
      <c r="S179" s="87">
        <v>9</v>
      </c>
      <c r="T179" s="21">
        <f t="shared" si="230"/>
        <v>5.6869999999999994</v>
      </c>
      <c r="U179" s="21"/>
      <c r="V179" s="24">
        <f t="shared" si="250"/>
        <v>2.2240000000000002</v>
      </c>
      <c r="W179" s="24">
        <f t="shared" si="232"/>
        <v>2.3860000000000001</v>
      </c>
      <c r="X179" s="24">
        <f t="shared" si="233"/>
        <v>2.8569047240972352</v>
      </c>
      <c r="Y179" s="25">
        <f t="shared" si="223"/>
        <v>1</v>
      </c>
      <c r="Z179" s="24">
        <f t="shared" si="211"/>
        <v>14.930699875086146</v>
      </c>
      <c r="AA179" s="21">
        <f t="shared" si="234"/>
        <v>1.7458863906796667</v>
      </c>
      <c r="AB179" s="24">
        <f t="shared" si="212"/>
        <v>4.0156596461983955</v>
      </c>
      <c r="AC179" s="24">
        <f t="shared" si="225"/>
        <v>21.574323767278749</v>
      </c>
      <c r="AD179" s="58">
        <f t="shared" si="235"/>
        <v>326</v>
      </c>
      <c r="AE179" s="58">
        <f t="shared" si="236"/>
        <v>332</v>
      </c>
      <c r="AF179" s="21">
        <f t="shared" si="213"/>
        <v>3.15</v>
      </c>
      <c r="AG179" s="77">
        <f t="shared" si="214"/>
        <v>0</v>
      </c>
      <c r="AH179" s="114">
        <f t="shared" si="224"/>
        <v>1</v>
      </c>
      <c r="AI179" s="59">
        <f t="shared" si="215"/>
        <v>105.72279092507628</v>
      </c>
      <c r="AJ179" s="59">
        <f t="shared" si="216"/>
        <v>100.96671102040744</v>
      </c>
      <c r="AK179" s="55">
        <v>8.2729999999999997</v>
      </c>
      <c r="AL179" s="55">
        <v>2.2240000000000002</v>
      </c>
      <c r="AM179" s="21">
        <f t="shared" si="237"/>
        <v>9.1995760000000004</v>
      </c>
      <c r="AN179" s="54">
        <v>8.1120000000000001</v>
      </c>
      <c r="AO179" s="55">
        <v>0.112</v>
      </c>
      <c r="AP179" s="21">
        <f t="shared" si="252"/>
        <v>0.60569600000000001</v>
      </c>
      <c r="AQ179" s="55"/>
      <c r="AR179" s="55"/>
      <c r="AS179" s="21">
        <f t="shared" si="253"/>
        <v>0</v>
      </c>
      <c r="AT179" s="54">
        <v>8.2729999999999997</v>
      </c>
      <c r="AU179" s="54">
        <v>0.86499999999999999</v>
      </c>
      <c r="AV179" s="21">
        <f t="shared" si="254"/>
        <v>3.5780724999999998</v>
      </c>
      <c r="AW179" s="54">
        <v>3.07</v>
      </c>
      <c r="AX179" s="54">
        <v>0.216</v>
      </c>
      <c r="AY179" s="21">
        <f t="shared" si="255"/>
        <v>0.33155999999999997</v>
      </c>
      <c r="AZ179" s="54"/>
      <c r="BA179" s="54"/>
      <c r="BB179" s="21">
        <f t="shared" si="256"/>
        <v>0</v>
      </c>
      <c r="BC179" s="54">
        <v>1.147</v>
      </c>
      <c r="BD179" s="54">
        <v>7.9000000000000001E-2</v>
      </c>
      <c r="BE179" s="21">
        <f t="shared" si="257"/>
        <v>6.0408666666666666E-2</v>
      </c>
      <c r="BF179" s="55">
        <v>2.1539999999999999</v>
      </c>
      <c r="BG179" s="55">
        <v>0.158</v>
      </c>
      <c r="BH179" s="21">
        <f t="shared" si="258"/>
        <v>0.17016599999999998</v>
      </c>
      <c r="BI179" s="55">
        <v>5.4</v>
      </c>
      <c r="BJ179" s="55">
        <v>0.19800000000000001</v>
      </c>
      <c r="BK179" s="21">
        <f t="shared" si="259"/>
        <v>0.7128000000000001</v>
      </c>
      <c r="BL179" s="55">
        <v>1.478</v>
      </c>
      <c r="BM179" s="55">
        <v>0.32400000000000001</v>
      </c>
      <c r="BN179" s="21">
        <f t="shared" si="260"/>
        <v>0.23943600000000001</v>
      </c>
      <c r="BO179" s="55"/>
      <c r="BP179" s="55"/>
      <c r="BQ179" s="21">
        <f t="shared" si="261"/>
        <v>0</v>
      </c>
      <c r="BR179" s="55">
        <v>0.32400000000000001</v>
      </c>
      <c r="BS179" s="21">
        <f t="shared" si="238"/>
        <v>14.897715166666666</v>
      </c>
      <c r="BT179" s="56">
        <v>6.05</v>
      </c>
      <c r="BU179" s="56">
        <v>1.6439999999999999</v>
      </c>
      <c r="BV179" s="21">
        <f t="shared" ref="BV179:BV185" si="262">BT179*BU179*0.5</f>
        <v>4.9730999999999996</v>
      </c>
      <c r="BW179" s="77">
        <f t="shared" si="217"/>
        <v>6.05</v>
      </c>
      <c r="BX179" s="55"/>
      <c r="BY179" s="21">
        <f t="shared" ref="BY179:BY185" si="263">BW179*BX179*2/3</f>
        <v>0</v>
      </c>
      <c r="BZ179" s="55">
        <v>5.1829999999999998</v>
      </c>
      <c r="CA179" s="55">
        <v>-0.09</v>
      </c>
      <c r="CB179" s="21">
        <f t="shared" ref="CB179:CB185" si="264">BZ179*CA179*2/3</f>
        <v>-0.31097999999999998</v>
      </c>
      <c r="CC179" s="55">
        <v>1.885</v>
      </c>
      <c r="CD179" s="55">
        <v>4.4999999999999998E-2</v>
      </c>
      <c r="CE179" s="21">
        <f t="shared" ref="CE179:CE185" si="265">CC179*CD179*2/3</f>
        <v>5.6549999999999996E-2</v>
      </c>
      <c r="CF179" s="21"/>
      <c r="CG179" s="21"/>
      <c r="CH179" s="21">
        <f t="shared" si="218"/>
        <v>0</v>
      </c>
      <c r="CI179" s="25">
        <f t="shared" si="219"/>
        <v>4.7186699999999995</v>
      </c>
      <c r="CJ179" s="54">
        <v>0.32400000000000001</v>
      </c>
      <c r="CK179" s="21">
        <f>(voorvlm1+voorllm2)*circMast*0.5</f>
        <v>1.3666320000000001</v>
      </c>
      <c r="CL179" s="55" t="s">
        <v>369</v>
      </c>
      <c r="CM179" s="55"/>
      <c r="CN179" s="60"/>
      <c r="CO179" s="55" t="s">
        <v>362</v>
      </c>
      <c r="CP179" s="55"/>
      <c r="CQ179" s="55"/>
      <c r="CR179" s="55"/>
      <c r="CS179" s="55"/>
      <c r="CT179" s="55"/>
      <c r="CU179" s="55"/>
      <c r="CV179" s="55"/>
      <c r="CW179" s="55"/>
      <c r="CX179" s="55"/>
      <c r="CY179" s="21">
        <f t="shared" ref="CY179:CY209" si="266">(CT179+4*CU179+2*CV179+4*CW179+CX179)*AN179/12</f>
        <v>0</v>
      </c>
      <c r="CZ179" s="56"/>
      <c r="DA179" s="56"/>
      <c r="DB179" s="56"/>
      <c r="DC179" s="56"/>
      <c r="DD179" s="61">
        <f t="shared" si="221"/>
        <v>0</v>
      </c>
      <c r="DE179" s="21">
        <f t="shared" si="222"/>
        <v>0</v>
      </c>
      <c r="DF179" s="55"/>
      <c r="DG179" s="55"/>
      <c r="DH179" s="55"/>
      <c r="DI179" s="55"/>
      <c r="DJ179" s="104"/>
      <c r="DK179" s="53"/>
      <c r="DM179" s="58">
        <f t="shared" si="205"/>
        <v>848.73359459656649</v>
      </c>
      <c r="DN179" s="58">
        <f t="shared" si="242"/>
        <v>766.42</v>
      </c>
      <c r="DO179" s="21">
        <f t="shared" si="243"/>
        <v>0.90301598155108598</v>
      </c>
      <c r="DP179" s="62">
        <f t="shared" si="251"/>
        <v>1.0112848519438808</v>
      </c>
      <c r="DQ179" s="7" t="s">
        <v>130</v>
      </c>
      <c r="DR179" s="107">
        <f t="shared" si="206"/>
        <v>0</v>
      </c>
    </row>
    <row r="180" spans="1:137" ht="12.75" customHeight="1" x14ac:dyDescent="0.2">
      <c r="A180" s="53" t="s">
        <v>370</v>
      </c>
      <c r="B180" s="54">
        <v>2</v>
      </c>
      <c r="C180" s="92">
        <f t="shared" si="247"/>
        <v>105.66062589575492</v>
      </c>
      <c r="D180" s="92">
        <f t="shared" si="248"/>
        <v>101.27079688825354</v>
      </c>
      <c r="E180" s="92">
        <f>VLOOKUP(A180,[3]TRTOTAL!$A$7:$D$313,3,FALSE)</f>
        <v>105.66062589575492</v>
      </c>
      <c r="F180" s="92">
        <f>VLOOKUP(A180,[3]TRTOTAL!$A$7:$D$313,4,FALSE)</f>
        <v>101.27079688825354</v>
      </c>
      <c r="G180" s="92">
        <f t="shared" si="209"/>
        <v>0</v>
      </c>
      <c r="H180" s="92">
        <f t="shared" si="210"/>
        <v>0</v>
      </c>
      <c r="I180" s="54">
        <v>5.47</v>
      </c>
      <c r="J180" s="56">
        <v>5.45</v>
      </c>
      <c r="K180" s="54">
        <v>2.59</v>
      </c>
      <c r="L180" s="57">
        <v>2</v>
      </c>
      <c r="M180" s="57">
        <v>176</v>
      </c>
      <c r="N180" s="57"/>
      <c r="O180" s="87"/>
      <c r="P180" s="24">
        <f t="shared" si="228"/>
        <v>16.355715166666666</v>
      </c>
      <c r="Q180" s="24">
        <f t="shared" si="245"/>
        <v>8.4359999999999999</v>
      </c>
      <c r="R180" s="24">
        <f t="shared" si="249"/>
        <v>5.851399999999999</v>
      </c>
      <c r="S180" s="87">
        <v>9</v>
      </c>
      <c r="T180" s="21">
        <f t="shared" si="230"/>
        <v>5.7904</v>
      </c>
      <c r="U180" s="21"/>
      <c r="V180" s="24">
        <f t="shared" si="250"/>
        <v>2.2240000000000002</v>
      </c>
      <c r="W180" s="24">
        <f t="shared" si="232"/>
        <v>2.3860000000000001</v>
      </c>
      <c r="X180" s="24">
        <f t="shared" si="233"/>
        <v>2.8729539185811239</v>
      </c>
      <c r="Y180" s="25">
        <f t="shared" si="223"/>
        <v>1</v>
      </c>
      <c r="Z180" s="24">
        <f t="shared" si="211"/>
        <v>15.03983042105985</v>
      </c>
      <c r="AA180" s="21">
        <f t="shared" si="234"/>
        <v>1.4483304868691371</v>
      </c>
      <c r="AB180" s="24">
        <f t="shared" si="212"/>
        <v>4.7081748767022216</v>
      </c>
      <c r="AC180" s="24">
        <f t="shared" si="225"/>
        <v>22.28594256379078</v>
      </c>
      <c r="AD180" s="58">
        <f t="shared" si="235"/>
        <v>326</v>
      </c>
      <c r="AE180" s="58">
        <f t="shared" si="236"/>
        <v>332</v>
      </c>
      <c r="AF180" s="21">
        <f t="shared" si="213"/>
        <v>3.15</v>
      </c>
      <c r="AG180" s="77">
        <f t="shared" si="214"/>
        <v>0</v>
      </c>
      <c r="AH180" s="114">
        <f t="shared" si="224"/>
        <v>1</v>
      </c>
      <c r="AI180" s="59">
        <f t="shared" si="215"/>
        <v>103.98474591491129</v>
      </c>
      <c r="AJ180" s="59">
        <f t="shared" si="216"/>
        <v>99.664543852079504</v>
      </c>
      <c r="AK180" s="55">
        <v>8.2729999999999997</v>
      </c>
      <c r="AL180" s="55">
        <v>2.2240000000000002</v>
      </c>
      <c r="AM180" s="21">
        <f t="shared" si="237"/>
        <v>9.1995760000000004</v>
      </c>
      <c r="AN180" s="54">
        <v>8.1120000000000001</v>
      </c>
      <c r="AO180" s="55">
        <v>0.112</v>
      </c>
      <c r="AP180" s="21">
        <f t="shared" si="252"/>
        <v>0.60569600000000001</v>
      </c>
      <c r="AQ180" s="55"/>
      <c r="AR180" s="55"/>
      <c r="AS180" s="21">
        <f t="shared" si="253"/>
        <v>0</v>
      </c>
      <c r="AT180" s="54">
        <v>8.2729999999999997</v>
      </c>
      <c r="AU180" s="54">
        <v>0.86499999999999999</v>
      </c>
      <c r="AV180" s="21">
        <f t="shared" si="254"/>
        <v>3.5780724999999998</v>
      </c>
      <c r="AW180" s="54">
        <v>3.07</v>
      </c>
      <c r="AX180" s="54">
        <v>0.216</v>
      </c>
      <c r="AY180" s="21">
        <f t="shared" si="255"/>
        <v>0.33155999999999997</v>
      </c>
      <c r="AZ180" s="54"/>
      <c r="BA180" s="54"/>
      <c r="BB180" s="21">
        <f t="shared" si="256"/>
        <v>0</v>
      </c>
      <c r="BC180" s="54">
        <v>1.147</v>
      </c>
      <c r="BD180" s="54">
        <v>7.9000000000000001E-2</v>
      </c>
      <c r="BE180" s="21">
        <f t="shared" si="257"/>
        <v>6.0408666666666666E-2</v>
      </c>
      <c r="BF180" s="55">
        <v>2.1539999999999999</v>
      </c>
      <c r="BG180" s="55">
        <v>0.158</v>
      </c>
      <c r="BH180" s="21">
        <f t="shared" si="258"/>
        <v>0.17016599999999998</v>
      </c>
      <c r="BI180" s="55">
        <v>5.4</v>
      </c>
      <c r="BJ180" s="55">
        <v>0.19800000000000001</v>
      </c>
      <c r="BK180" s="21">
        <f t="shared" si="259"/>
        <v>0.7128000000000001</v>
      </c>
      <c r="BL180" s="55">
        <v>1.478</v>
      </c>
      <c r="BM180" s="55">
        <v>0.32400000000000001</v>
      </c>
      <c r="BN180" s="21">
        <f t="shared" si="260"/>
        <v>0.23943600000000001</v>
      </c>
      <c r="BO180" s="55"/>
      <c r="BP180" s="55"/>
      <c r="BQ180" s="21">
        <f t="shared" si="261"/>
        <v>0</v>
      </c>
      <c r="BR180" s="55">
        <v>0.32400000000000001</v>
      </c>
      <c r="BS180" s="21">
        <f t="shared" si="238"/>
        <v>14.897715166666666</v>
      </c>
      <c r="BT180" s="56">
        <v>6.16</v>
      </c>
      <c r="BU180" s="56">
        <v>2.0099999999999998</v>
      </c>
      <c r="BV180" s="21">
        <f t="shared" si="262"/>
        <v>6.1907999999999994</v>
      </c>
      <c r="BW180" s="77">
        <f t="shared" si="217"/>
        <v>6.16</v>
      </c>
      <c r="BX180" s="55">
        <v>-2.5000000000000001E-2</v>
      </c>
      <c r="BY180" s="21">
        <f t="shared" si="263"/>
        <v>-0.10266666666666668</v>
      </c>
      <c r="BZ180" s="55">
        <v>5.61</v>
      </c>
      <c r="CA180" s="55">
        <v>-0.09</v>
      </c>
      <c r="CB180" s="21">
        <f t="shared" si="264"/>
        <v>-0.33660000000000001</v>
      </c>
      <c r="CC180" s="54">
        <v>2.14</v>
      </c>
      <c r="CD180" s="54">
        <v>7.0000000000000007E-2</v>
      </c>
      <c r="CE180" s="21">
        <f t="shared" si="265"/>
        <v>9.9866666666666673E-2</v>
      </c>
      <c r="CF180" s="21"/>
      <c r="CG180" s="21"/>
      <c r="CH180" s="21">
        <f t="shared" si="218"/>
        <v>0</v>
      </c>
      <c r="CI180" s="25">
        <f t="shared" si="219"/>
        <v>5.851399999999999</v>
      </c>
      <c r="CJ180" s="54">
        <v>0.32400000000000001</v>
      </c>
      <c r="CK180" s="21">
        <f t="shared" ref="CK180:CK193" si="267">MastLength*circMast*0.5</f>
        <v>1.458</v>
      </c>
      <c r="CL180" s="55">
        <v>5</v>
      </c>
      <c r="CM180" s="55"/>
      <c r="CN180" s="60"/>
      <c r="CO180" s="55"/>
      <c r="CP180" s="55"/>
      <c r="CQ180" s="55"/>
      <c r="CR180" s="55"/>
      <c r="CS180" s="55"/>
      <c r="CT180" s="55"/>
      <c r="CU180" s="55"/>
      <c r="CV180" s="55"/>
      <c r="CW180" s="55"/>
      <c r="CX180" s="55"/>
      <c r="CY180" s="21">
        <f t="shared" si="266"/>
        <v>0</v>
      </c>
      <c r="CZ180" s="56"/>
      <c r="DA180" s="56"/>
      <c r="DB180" s="56"/>
      <c r="DC180" s="56"/>
      <c r="DD180" s="61">
        <f t="shared" si="221"/>
        <v>0</v>
      </c>
      <c r="DE180" s="21">
        <f t="shared" si="222"/>
        <v>0</v>
      </c>
      <c r="DF180" s="55"/>
      <c r="DG180" s="55"/>
      <c r="DH180" s="55"/>
      <c r="DI180" s="55"/>
      <c r="DJ180" s="104"/>
      <c r="DK180" s="53"/>
      <c r="DM180" s="58">
        <f t="shared" si="205"/>
        <v>886.31879019414475</v>
      </c>
      <c r="DN180" s="58">
        <f t="shared" si="242"/>
        <v>766.42</v>
      </c>
      <c r="DO180" s="21">
        <f t="shared" si="243"/>
        <v>0.86472272559190422</v>
      </c>
      <c r="DP180" s="62">
        <f t="shared" ref="DP180:DP210" si="268">IF((1/DO180)^$DP$5&lt;1,1,(1/DO180)^$DP$5)</f>
        <v>1.0161165944687212</v>
      </c>
      <c r="DQ180" s="7" t="s">
        <v>130</v>
      </c>
      <c r="DR180" s="107">
        <f t="shared" si="206"/>
        <v>0</v>
      </c>
    </row>
    <row r="181" spans="1:137" ht="12.75" customHeight="1" x14ac:dyDescent="0.2">
      <c r="A181" s="53" t="s">
        <v>371</v>
      </c>
      <c r="B181" s="54">
        <v>1</v>
      </c>
      <c r="C181" s="92">
        <f t="shared" si="247"/>
        <v>110.61593200062111</v>
      </c>
      <c r="D181" s="92">
        <f t="shared" si="248"/>
        <v>105.75617456726361</v>
      </c>
      <c r="E181" s="92">
        <f>VLOOKUP(A181,[3]TRTOTAL!$A$7:$D$313,3,FALSE)</f>
        <v>110.61593200062111</v>
      </c>
      <c r="F181" s="92">
        <f>VLOOKUP(A181,[3]TRTOTAL!$A$7:$D$313,4,FALSE)</f>
        <v>105.75617456726361</v>
      </c>
      <c r="G181" s="92">
        <f t="shared" si="209"/>
        <v>0</v>
      </c>
      <c r="H181" s="92">
        <f t="shared" si="210"/>
        <v>0</v>
      </c>
      <c r="I181" s="54">
        <v>5.47</v>
      </c>
      <c r="J181" s="56">
        <v>5.45</v>
      </c>
      <c r="K181" s="54">
        <v>2.59</v>
      </c>
      <c r="L181" s="57">
        <v>1</v>
      </c>
      <c r="M181" s="57">
        <v>173</v>
      </c>
      <c r="N181" s="57"/>
      <c r="O181" s="87"/>
      <c r="P181" s="24">
        <f t="shared" si="228"/>
        <v>16.355715166666666</v>
      </c>
      <c r="Q181" s="24">
        <f t="shared" si="245"/>
        <v>8.4359999999999999</v>
      </c>
      <c r="R181" s="24">
        <f t="shared" si="249"/>
        <v>0</v>
      </c>
      <c r="S181" s="87">
        <v>9</v>
      </c>
      <c r="T181" s="21">
        <f t="shared" si="230"/>
        <v>0</v>
      </c>
      <c r="U181" s="21"/>
      <c r="V181" s="24">
        <f t="shared" si="250"/>
        <v>2.2240000000000002</v>
      </c>
      <c r="W181" s="24">
        <f t="shared" si="232"/>
        <v>2.3860000000000001</v>
      </c>
      <c r="X181" s="24">
        <f t="shared" si="233"/>
        <v>2.8729539185811239</v>
      </c>
      <c r="Y181" s="25">
        <f t="shared" si="223"/>
        <v>1</v>
      </c>
      <c r="Z181" s="24">
        <f t="shared" si="211"/>
        <v>15.03983042105985</v>
      </c>
      <c r="AA181" s="21">
        <f t="shared" si="234"/>
        <v>0</v>
      </c>
      <c r="AB181" s="24">
        <f t="shared" si="212"/>
        <v>0</v>
      </c>
      <c r="AC181" s="24">
        <f t="shared" si="225"/>
        <v>17.589830421059851</v>
      </c>
      <c r="AD181" s="58">
        <f t="shared" si="235"/>
        <v>248</v>
      </c>
      <c r="AE181" s="58">
        <f t="shared" si="236"/>
        <v>254</v>
      </c>
      <c r="AF181" s="21">
        <f t="shared" si="213"/>
        <v>2.5499999999999998</v>
      </c>
      <c r="AG181" s="77">
        <f t="shared" si="214"/>
        <v>0</v>
      </c>
      <c r="AH181" s="114">
        <f t="shared" si="224"/>
        <v>1</v>
      </c>
      <c r="AI181" s="59">
        <f t="shared" si="215"/>
        <v>106.09204710457017</v>
      </c>
      <c r="AJ181" s="59">
        <f t="shared" si="216"/>
        <v>100.42677254930459</v>
      </c>
      <c r="AK181" s="55">
        <v>8.2729999999999997</v>
      </c>
      <c r="AL181" s="55">
        <v>2.2240000000000002</v>
      </c>
      <c r="AM181" s="21">
        <f t="shared" si="237"/>
        <v>9.1995760000000004</v>
      </c>
      <c r="AN181" s="54">
        <v>8.1120000000000001</v>
      </c>
      <c r="AO181" s="55">
        <v>0.112</v>
      </c>
      <c r="AP181" s="21">
        <f t="shared" si="252"/>
        <v>0.60569600000000001</v>
      </c>
      <c r="AQ181" s="55"/>
      <c r="AR181" s="55"/>
      <c r="AS181" s="21">
        <f t="shared" si="253"/>
        <v>0</v>
      </c>
      <c r="AT181" s="54">
        <v>8.2729999999999997</v>
      </c>
      <c r="AU181" s="54">
        <v>0.86499999999999999</v>
      </c>
      <c r="AV181" s="21">
        <f t="shared" si="254"/>
        <v>3.5780724999999998</v>
      </c>
      <c r="AW181" s="54">
        <v>3.07</v>
      </c>
      <c r="AX181" s="54">
        <v>0.216</v>
      </c>
      <c r="AY181" s="21">
        <f t="shared" si="255"/>
        <v>0.33155999999999997</v>
      </c>
      <c r="AZ181" s="54"/>
      <c r="BA181" s="54"/>
      <c r="BB181" s="21">
        <f t="shared" si="256"/>
        <v>0</v>
      </c>
      <c r="BC181" s="54">
        <v>1.147</v>
      </c>
      <c r="BD181" s="54">
        <v>7.9000000000000001E-2</v>
      </c>
      <c r="BE181" s="21">
        <f t="shared" si="257"/>
        <v>6.0408666666666666E-2</v>
      </c>
      <c r="BF181" s="55">
        <v>2.1539999999999999</v>
      </c>
      <c r="BG181" s="55">
        <v>0.158</v>
      </c>
      <c r="BH181" s="21">
        <f t="shared" si="258"/>
        <v>0.17016599999999998</v>
      </c>
      <c r="BI181" s="55">
        <v>5.4</v>
      </c>
      <c r="BJ181" s="55">
        <v>0.19800000000000001</v>
      </c>
      <c r="BK181" s="21">
        <f t="shared" si="259"/>
        <v>0.7128000000000001</v>
      </c>
      <c r="BL181" s="55">
        <v>1.478</v>
      </c>
      <c r="BM181" s="55">
        <v>0.32400000000000001</v>
      </c>
      <c r="BN181" s="21">
        <f t="shared" si="260"/>
        <v>0.23943600000000001</v>
      </c>
      <c r="BO181" s="55"/>
      <c r="BP181" s="55"/>
      <c r="BQ181" s="21">
        <f t="shared" si="261"/>
        <v>0</v>
      </c>
      <c r="BR181" s="55">
        <v>0.32400000000000001</v>
      </c>
      <c r="BS181" s="21">
        <f t="shared" si="238"/>
        <v>14.897715166666666</v>
      </c>
      <c r="BT181" s="56">
        <v>0</v>
      </c>
      <c r="BU181" s="56"/>
      <c r="BV181" s="21">
        <f t="shared" si="262"/>
        <v>0</v>
      </c>
      <c r="BW181" s="77">
        <f t="shared" si="217"/>
        <v>0</v>
      </c>
      <c r="BX181" s="55"/>
      <c r="BY181" s="21">
        <f t="shared" si="263"/>
        <v>0</v>
      </c>
      <c r="BZ181" s="55"/>
      <c r="CA181" s="55"/>
      <c r="CB181" s="21">
        <f t="shared" si="264"/>
        <v>0</v>
      </c>
      <c r="CC181" s="54"/>
      <c r="CD181" s="54"/>
      <c r="CE181" s="21">
        <f t="shared" si="265"/>
        <v>0</v>
      </c>
      <c r="CF181" s="21"/>
      <c r="CG181" s="21"/>
      <c r="CH181" s="21">
        <f t="shared" si="218"/>
        <v>0</v>
      </c>
      <c r="CI181" s="25">
        <f t="shared" si="219"/>
        <v>0</v>
      </c>
      <c r="CJ181" s="54">
        <v>0.32400000000000001</v>
      </c>
      <c r="CK181" s="21">
        <f t="shared" si="267"/>
        <v>1.458</v>
      </c>
      <c r="CL181" s="55"/>
      <c r="CM181" s="55"/>
      <c r="CN181" s="60"/>
      <c r="CO181" s="55"/>
      <c r="CP181" s="55"/>
      <c r="CQ181" s="55"/>
      <c r="CR181" s="55"/>
      <c r="CS181" s="55"/>
      <c r="CT181" s="55"/>
      <c r="CU181" s="55"/>
      <c r="CV181" s="55"/>
      <c r="CW181" s="55"/>
      <c r="CX181" s="55"/>
      <c r="CY181" s="21">
        <f t="shared" si="266"/>
        <v>0</v>
      </c>
      <c r="CZ181" s="56"/>
      <c r="DA181" s="56"/>
      <c r="DB181" s="56"/>
      <c r="DC181" s="56"/>
      <c r="DD181" s="61">
        <f t="shared" si="221"/>
        <v>0</v>
      </c>
      <c r="DE181" s="21">
        <f t="shared" si="222"/>
        <v>0</v>
      </c>
      <c r="DF181" s="55"/>
      <c r="DG181" s="55"/>
      <c r="DH181" s="55"/>
      <c r="DI181" s="55"/>
      <c r="DJ181" s="104"/>
      <c r="DK181" s="53"/>
      <c r="DM181" s="58">
        <f t="shared" si="205"/>
        <v>721.04141986768241</v>
      </c>
      <c r="DN181" s="58">
        <f t="shared" si="242"/>
        <v>493.28499999999997</v>
      </c>
      <c r="DO181" s="21">
        <f t="shared" si="243"/>
        <v>0.68412852078667297</v>
      </c>
      <c r="DP181" s="62">
        <f t="shared" si="268"/>
        <v>1.0426411311640726</v>
      </c>
      <c r="DQ181" s="7">
        <v>0</v>
      </c>
      <c r="DR181" s="107">
        <f t="shared" si="206"/>
        <v>0</v>
      </c>
    </row>
    <row r="182" spans="1:137" ht="12.75" customHeight="1" x14ac:dyDescent="0.2">
      <c r="A182" s="53" t="s">
        <v>372</v>
      </c>
      <c r="B182" s="54">
        <v>2</v>
      </c>
      <c r="C182" s="92">
        <f t="shared" si="247"/>
        <v>112.70843046778775</v>
      </c>
      <c r="D182" s="92">
        <f t="shared" si="248"/>
        <v>107.33917570769071</v>
      </c>
      <c r="E182" s="92">
        <f>VLOOKUP(A182,[3]TRTOTAL!$A$7:$D$313,3,FALSE)</f>
        <v>112.70843046778775</v>
      </c>
      <c r="F182" s="92">
        <f>VLOOKUP(A182,[3]TRTOTAL!$A$7:$D$313,4,FALSE)</f>
        <v>107.33917570769071</v>
      </c>
      <c r="G182" s="92">
        <f t="shared" si="209"/>
        <v>0</v>
      </c>
      <c r="H182" s="92">
        <f t="shared" si="210"/>
        <v>0</v>
      </c>
      <c r="I182" s="54">
        <v>5.65</v>
      </c>
      <c r="J182" s="56">
        <v>5.46</v>
      </c>
      <c r="K182" s="54">
        <v>2.5</v>
      </c>
      <c r="L182" s="57">
        <v>2</v>
      </c>
      <c r="M182" s="57">
        <v>166</v>
      </c>
      <c r="N182" s="57"/>
      <c r="O182" s="87" t="s">
        <v>133</v>
      </c>
      <c r="P182" s="24">
        <f t="shared" si="228"/>
        <v>15.459283333333335</v>
      </c>
      <c r="Q182" s="24">
        <f t="shared" si="245"/>
        <v>8.5400000000000009</v>
      </c>
      <c r="R182" s="24">
        <f t="shared" si="249"/>
        <v>5.017949999999999</v>
      </c>
      <c r="S182" s="87">
        <v>9</v>
      </c>
      <c r="T182" s="21">
        <f t="shared" si="230"/>
        <v>4.9913999999999996</v>
      </c>
      <c r="U182" s="21"/>
      <c r="V182" s="24">
        <f t="shared" si="250"/>
        <v>2.2599999999999998</v>
      </c>
      <c r="W182" s="24">
        <f t="shared" si="232"/>
        <v>2.4175</v>
      </c>
      <c r="X182" s="24">
        <f t="shared" si="233"/>
        <v>2.6451870713197714</v>
      </c>
      <c r="Y182" s="25">
        <f t="shared" si="223"/>
        <v>1</v>
      </c>
      <c r="Z182" s="24">
        <f t="shared" si="211"/>
        <v>13.867592678396583</v>
      </c>
      <c r="AA182" s="21">
        <f t="shared" si="234"/>
        <v>1.4047619047619047</v>
      </c>
      <c r="AB182" s="24">
        <f t="shared" si="212"/>
        <v>4.0007336807186249</v>
      </c>
      <c r="AC182" s="24">
        <f t="shared" si="225"/>
        <v>20.498230980621788</v>
      </c>
      <c r="AD182" s="58">
        <f t="shared" si="235"/>
        <v>316</v>
      </c>
      <c r="AE182" s="58">
        <f t="shared" si="236"/>
        <v>322</v>
      </c>
      <c r="AF182" s="21">
        <f t="shared" si="213"/>
        <v>3.15</v>
      </c>
      <c r="AG182" s="77">
        <f t="shared" si="214"/>
        <v>0</v>
      </c>
      <c r="AH182" s="114">
        <f t="shared" si="224"/>
        <v>1.04</v>
      </c>
      <c r="AI182" s="59">
        <f t="shared" si="215"/>
        <v>111.36339378529131</v>
      </c>
      <c r="AJ182" s="59">
        <f t="shared" si="216"/>
        <v>106.0582144859209</v>
      </c>
      <c r="AK182" s="55">
        <v>7.87</v>
      </c>
      <c r="AL182" s="55"/>
      <c r="AM182" s="21">
        <f t="shared" si="237"/>
        <v>0</v>
      </c>
      <c r="AN182" s="54">
        <v>7.87</v>
      </c>
      <c r="AO182" s="55"/>
      <c r="AP182" s="21">
        <f t="shared" si="252"/>
        <v>0</v>
      </c>
      <c r="AQ182" s="55"/>
      <c r="AR182" s="55"/>
      <c r="AS182" s="21">
        <f t="shared" si="253"/>
        <v>0</v>
      </c>
      <c r="AT182" s="54"/>
      <c r="AU182" s="54"/>
      <c r="AV182" s="21">
        <f t="shared" si="254"/>
        <v>0</v>
      </c>
      <c r="AW182" s="54"/>
      <c r="AX182" s="54"/>
      <c r="AY182" s="21">
        <f t="shared" si="255"/>
        <v>0</v>
      </c>
      <c r="AZ182" s="54"/>
      <c r="BA182" s="54"/>
      <c r="BB182" s="21">
        <f t="shared" si="256"/>
        <v>0</v>
      </c>
      <c r="BC182" s="54"/>
      <c r="BD182" s="54"/>
      <c r="BE182" s="21">
        <f t="shared" si="257"/>
        <v>0</v>
      </c>
      <c r="BF182" s="55"/>
      <c r="BG182" s="55"/>
      <c r="BH182" s="21">
        <f t="shared" si="258"/>
        <v>0</v>
      </c>
      <c r="BI182" s="55"/>
      <c r="BJ182" s="55"/>
      <c r="BK182" s="21">
        <f t="shared" si="259"/>
        <v>0</v>
      </c>
      <c r="BL182" s="55">
        <v>2.37</v>
      </c>
      <c r="BM182" s="55">
        <v>0.67</v>
      </c>
      <c r="BN182" s="21">
        <f t="shared" si="260"/>
        <v>0.79395000000000004</v>
      </c>
      <c r="BO182" s="55"/>
      <c r="BP182" s="55"/>
      <c r="BQ182" s="21">
        <f t="shared" si="261"/>
        <v>0</v>
      </c>
      <c r="BR182" s="55">
        <v>0.67</v>
      </c>
      <c r="BS182" s="21">
        <f t="shared" si="238"/>
        <v>0.79395000000000004</v>
      </c>
      <c r="BT182" s="56">
        <v>5.31</v>
      </c>
      <c r="BU182" s="56">
        <v>1.89</v>
      </c>
      <c r="BV182" s="21">
        <f t="shared" si="262"/>
        <v>5.017949999999999</v>
      </c>
      <c r="BW182" s="77">
        <f t="shared" si="217"/>
        <v>5.31</v>
      </c>
      <c r="BX182" s="55"/>
      <c r="BY182" s="21">
        <f t="shared" si="263"/>
        <v>0</v>
      </c>
      <c r="BZ182" s="55"/>
      <c r="CA182" s="55"/>
      <c r="CB182" s="21">
        <f t="shared" si="264"/>
        <v>0</v>
      </c>
      <c r="CC182" s="55"/>
      <c r="CD182" s="55"/>
      <c r="CE182" s="21">
        <f t="shared" si="265"/>
        <v>0</v>
      </c>
      <c r="CF182" s="21"/>
      <c r="CG182" s="21"/>
      <c r="CH182" s="21">
        <f t="shared" si="218"/>
        <v>0</v>
      </c>
      <c r="CI182" s="25">
        <f t="shared" si="219"/>
        <v>5.017949999999999</v>
      </c>
      <c r="CJ182" s="54">
        <v>0.315</v>
      </c>
      <c r="CK182" s="21">
        <f t="shared" si="267"/>
        <v>1.4175</v>
      </c>
      <c r="CL182" s="55"/>
      <c r="CM182" s="55"/>
      <c r="CN182" s="60"/>
      <c r="CO182" s="55" t="s">
        <v>366</v>
      </c>
      <c r="CP182" s="55"/>
      <c r="CQ182" s="55"/>
      <c r="CR182" s="55"/>
      <c r="CS182" s="55"/>
      <c r="CT182" s="55">
        <v>0.12</v>
      </c>
      <c r="CU182" s="55">
        <v>1.25</v>
      </c>
      <c r="CV182" s="55">
        <v>1.93</v>
      </c>
      <c r="CW182" s="55">
        <v>2.2400000000000002</v>
      </c>
      <c r="CX182" s="55">
        <v>2.2599999999999998</v>
      </c>
      <c r="CY182" s="21">
        <f t="shared" si="266"/>
        <v>13.247833333333334</v>
      </c>
      <c r="CZ182" s="56"/>
      <c r="DA182" s="56"/>
      <c r="DB182" s="56"/>
      <c r="DC182" s="56"/>
      <c r="DD182" s="61">
        <f t="shared" si="221"/>
        <v>0</v>
      </c>
      <c r="DE182" s="21">
        <f t="shared" si="222"/>
        <v>0</v>
      </c>
      <c r="DF182" s="55"/>
      <c r="DG182" s="55"/>
      <c r="DH182" s="55"/>
      <c r="DI182" s="55"/>
      <c r="DJ182" s="104"/>
      <c r="DK182" s="53"/>
      <c r="DM182" s="58">
        <f t="shared" si="205"/>
        <v>816.97190974681587</v>
      </c>
      <c r="DN182" s="58">
        <f t="shared" si="242"/>
        <v>732.5</v>
      </c>
      <c r="DO182" s="21">
        <f t="shared" si="243"/>
        <v>0.89660365461892788</v>
      </c>
      <c r="DP182" s="62">
        <f t="shared" si="268"/>
        <v>1.0120779067230088</v>
      </c>
      <c r="DQ182" s="7" t="s">
        <v>130</v>
      </c>
      <c r="DR182" s="107">
        <f t="shared" si="206"/>
        <v>0</v>
      </c>
    </row>
    <row r="183" spans="1:137" ht="12.75" customHeight="1" x14ac:dyDescent="0.2">
      <c r="A183" s="53" t="s">
        <v>373</v>
      </c>
      <c r="B183" s="54">
        <v>2</v>
      </c>
      <c r="C183" s="92">
        <f t="shared" si="247"/>
        <v>105.87608797389126</v>
      </c>
      <c r="D183" s="92">
        <f t="shared" si="248"/>
        <v>100.20488617742507</v>
      </c>
      <c r="E183" s="92">
        <f>VLOOKUP(A183,[3]TRTOTAL!$A$7:$D$313,3,FALSE)</f>
        <v>105.91747028365967</v>
      </c>
      <c r="F183" s="92">
        <f>VLOOKUP(A183,[3]TRTOTAL!$A$7:$D$313,4,FALSE)</f>
        <v>100.24405186364807</v>
      </c>
      <c r="G183" s="92">
        <f t="shared" si="209"/>
        <v>-4.1382309768408732E-2</v>
      </c>
      <c r="H183" s="92">
        <f t="shared" si="210"/>
        <v>-3.9165686223000762E-2</v>
      </c>
      <c r="I183" s="54">
        <v>5.85</v>
      </c>
      <c r="J183" s="56">
        <v>5.82</v>
      </c>
      <c r="K183" s="54">
        <v>2.5</v>
      </c>
      <c r="L183" s="57">
        <v>2</v>
      </c>
      <c r="M183" s="57"/>
      <c r="N183" s="57">
        <v>196.5</v>
      </c>
      <c r="O183" s="87"/>
      <c r="P183" s="24">
        <f t="shared" si="228"/>
        <v>16.714772333333332</v>
      </c>
      <c r="Q183" s="24">
        <f t="shared" si="245"/>
        <v>8.94</v>
      </c>
      <c r="R183" s="24">
        <f t="shared" si="249"/>
        <v>5.3068549999999997</v>
      </c>
      <c r="S183" s="87">
        <v>9</v>
      </c>
      <c r="T183" s="21">
        <f t="shared" si="230"/>
        <v>5.4162799999999995</v>
      </c>
      <c r="U183" s="21"/>
      <c r="V183" s="24">
        <f t="shared" si="250"/>
        <v>2.25</v>
      </c>
      <c r="W183" s="24">
        <f t="shared" si="232"/>
        <v>2.415</v>
      </c>
      <c r="X183" s="24">
        <f t="shared" si="233"/>
        <v>2.8659340703305052</v>
      </c>
      <c r="Y183" s="25">
        <f t="shared" si="223"/>
        <v>1</v>
      </c>
      <c r="Z183" s="24">
        <f t="shared" si="211"/>
        <v>15.358723675169429</v>
      </c>
      <c r="AA183" s="21">
        <f t="shared" si="234"/>
        <v>1.3605140201890722</v>
      </c>
      <c r="AB183" s="24">
        <f t="shared" si="212"/>
        <v>4.1906426086944419</v>
      </c>
      <c r="AC183" s="24">
        <f t="shared" si="225"/>
        <v>22.754582744733593</v>
      </c>
      <c r="AD183" s="58">
        <f t="shared" si="235"/>
        <v>340.5</v>
      </c>
      <c r="AE183" s="58">
        <f t="shared" si="236"/>
        <v>346.5</v>
      </c>
      <c r="AF183" s="21">
        <f t="shared" si="213"/>
        <v>3.75</v>
      </c>
      <c r="AG183" s="77">
        <f t="shared" si="214"/>
        <v>0</v>
      </c>
      <c r="AH183" s="114">
        <f t="shared" si="224"/>
        <v>1</v>
      </c>
      <c r="AI183" s="59">
        <f t="shared" si="215"/>
        <v>103.82698754996676</v>
      </c>
      <c r="AJ183" s="59">
        <f t="shared" si="216"/>
        <v>98.265544833456062</v>
      </c>
      <c r="AK183" s="55">
        <v>8.94</v>
      </c>
      <c r="AL183" s="55">
        <v>2.25</v>
      </c>
      <c r="AM183" s="21">
        <f t="shared" si="237"/>
        <v>10.057499999999999</v>
      </c>
      <c r="AN183" s="54">
        <v>8.94</v>
      </c>
      <c r="AO183" s="55">
        <v>0.08</v>
      </c>
      <c r="AP183" s="21">
        <f t="shared" si="252"/>
        <v>0.47679999999999995</v>
      </c>
      <c r="AQ183" s="55"/>
      <c r="AR183" s="55"/>
      <c r="AS183" s="21">
        <f t="shared" si="253"/>
        <v>0</v>
      </c>
      <c r="AT183" s="54">
        <v>8.58</v>
      </c>
      <c r="AU183" s="54">
        <v>0.77400000000000002</v>
      </c>
      <c r="AV183" s="21">
        <f t="shared" si="254"/>
        <v>3.3204600000000002</v>
      </c>
      <c r="AW183" s="54">
        <v>2.5299999999999998</v>
      </c>
      <c r="AX183" s="54">
        <v>0.19400000000000001</v>
      </c>
      <c r="AY183" s="21">
        <f t="shared" si="255"/>
        <v>0.24540999999999999</v>
      </c>
      <c r="AZ183" s="54">
        <v>6.2220000000000004</v>
      </c>
      <c r="BA183" s="54">
        <v>0.251</v>
      </c>
      <c r="BB183" s="21">
        <f t="shared" si="256"/>
        <v>1.041148</v>
      </c>
      <c r="BC183" s="54"/>
      <c r="BD183" s="54"/>
      <c r="BE183" s="21">
        <f t="shared" si="257"/>
        <v>0</v>
      </c>
      <c r="BF183" s="55">
        <v>1.29</v>
      </c>
      <c r="BG183" s="55">
        <v>9.2999999999999999E-2</v>
      </c>
      <c r="BH183" s="21">
        <f t="shared" si="258"/>
        <v>5.9985000000000004E-2</v>
      </c>
      <c r="BI183" s="55">
        <v>0.628</v>
      </c>
      <c r="BJ183" s="55">
        <v>6.8000000000000005E-2</v>
      </c>
      <c r="BK183" s="21">
        <f t="shared" si="259"/>
        <v>2.8469333333333336E-2</v>
      </c>
      <c r="BL183" s="55"/>
      <c r="BM183" s="55"/>
      <c r="BN183" s="21">
        <f t="shared" si="260"/>
        <v>0</v>
      </c>
      <c r="BO183" s="55"/>
      <c r="BP183" s="55"/>
      <c r="BQ183" s="21">
        <f t="shared" si="261"/>
        <v>0</v>
      </c>
      <c r="BR183" s="55"/>
      <c r="BS183" s="21">
        <f t="shared" si="238"/>
        <v>15.229772333333333</v>
      </c>
      <c r="BT183" s="56">
        <v>5.7619999999999996</v>
      </c>
      <c r="BU183" s="56">
        <v>1.9750000000000001</v>
      </c>
      <c r="BV183" s="21">
        <f t="shared" si="262"/>
        <v>5.6899749999999996</v>
      </c>
      <c r="BW183" s="77">
        <f t="shared" si="217"/>
        <v>5.7619999999999996</v>
      </c>
      <c r="BX183" s="55">
        <v>-0.12</v>
      </c>
      <c r="BY183" s="21">
        <f t="shared" si="263"/>
        <v>-0.46095999999999998</v>
      </c>
      <c r="BZ183" s="55"/>
      <c r="CA183" s="55"/>
      <c r="CB183" s="21">
        <f t="shared" si="264"/>
        <v>0</v>
      </c>
      <c r="CC183" s="54">
        <v>2.085</v>
      </c>
      <c r="CD183" s="54">
        <v>5.6000000000000001E-2</v>
      </c>
      <c r="CE183" s="21">
        <f t="shared" si="265"/>
        <v>7.7840000000000006E-2</v>
      </c>
      <c r="CF183" s="21"/>
      <c r="CG183" s="21"/>
      <c r="CH183" s="21">
        <f t="shared" si="218"/>
        <v>0</v>
      </c>
      <c r="CI183" s="25">
        <f t="shared" si="219"/>
        <v>5.3068549999999997</v>
      </c>
      <c r="CJ183" s="54">
        <v>0.33</v>
      </c>
      <c r="CK183" s="21">
        <f t="shared" si="267"/>
        <v>1.4850000000000001</v>
      </c>
      <c r="CL183" s="55">
        <v>1081</v>
      </c>
      <c r="CM183" s="55"/>
      <c r="CN183" s="60">
        <v>34104</v>
      </c>
      <c r="CO183" s="55" t="s">
        <v>148</v>
      </c>
      <c r="CP183" s="55"/>
      <c r="CQ183" s="55"/>
      <c r="CR183" s="55"/>
      <c r="CS183" s="55"/>
      <c r="CT183" s="55"/>
      <c r="CU183" s="55"/>
      <c r="CV183" s="55"/>
      <c r="CW183" s="55"/>
      <c r="CX183" s="55"/>
      <c r="CY183" s="21">
        <f t="shared" si="266"/>
        <v>0</v>
      </c>
      <c r="CZ183" s="56"/>
      <c r="DA183" s="56"/>
      <c r="DB183" s="56"/>
      <c r="DC183" s="56"/>
      <c r="DD183" s="61">
        <f t="shared" si="221"/>
        <v>0</v>
      </c>
      <c r="DE183" s="21">
        <f t="shared" si="222"/>
        <v>0</v>
      </c>
      <c r="DF183" s="55"/>
      <c r="DG183" s="55"/>
      <c r="DH183" s="55"/>
      <c r="DI183" s="55"/>
      <c r="DJ183" s="104"/>
      <c r="DK183" s="53"/>
      <c r="DM183" s="58">
        <f t="shared" si="205"/>
        <v>911.49854094572811</v>
      </c>
      <c r="DN183" s="58">
        <f t="shared" si="242"/>
        <v>763.125</v>
      </c>
      <c r="DO183" s="21">
        <f t="shared" si="243"/>
        <v>0.8372202101478049</v>
      </c>
      <c r="DP183" s="62">
        <f t="shared" si="268"/>
        <v>1.0197357206664439</v>
      </c>
      <c r="DQ183" s="7" t="s">
        <v>130</v>
      </c>
      <c r="DR183" s="107" t="str">
        <f t="shared" si="206"/>
        <v>yes</v>
      </c>
    </row>
    <row r="184" spans="1:137" ht="12.75" customHeight="1" x14ac:dyDescent="0.2">
      <c r="A184" s="53" t="s">
        <v>499</v>
      </c>
      <c r="B184" s="54">
        <v>1</v>
      </c>
      <c r="C184" s="92">
        <f t="shared" si="247"/>
        <v>118.01942144464687</v>
      </c>
      <c r="D184" s="92">
        <f t="shared" si="248"/>
        <v>112.0852772796102</v>
      </c>
      <c r="E184" s="92">
        <f>VLOOKUP(A184,[3]TRTOTAL!$A$7:$D$313,3,FALSE)</f>
        <v>118.01942144464687</v>
      </c>
      <c r="F184" s="92">
        <f>VLOOKUP(A184,[3]TRTOTAL!$A$7:$D$313,4,FALSE)</f>
        <v>112.0852772796102</v>
      </c>
      <c r="G184" s="92">
        <f t="shared" si="209"/>
        <v>0</v>
      </c>
      <c r="H184" s="92">
        <f t="shared" si="210"/>
        <v>0</v>
      </c>
      <c r="I184" s="54">
        <v>5.08</v>
      </c>
      <c r="J184" s="56">
        <v>5.08</v>
      </c>
      <c r="K184" s="54">
        <v>2.44</v>
      </c>
      <c r="L184" s="57">
        <v>1</v>
      </c>
      <c r="M184" s="57"/>
      <c r="N184" s="57">
        <v>154</v>
      </c>
      <c r="O184" s="87" t="s">
        <v>133</v>
      </c>
      <c r="P184" s="24">
        <f t="shared" si="228"/>
        <v>14.15</v>
      </c>
      <c r="Q184" s="24">
        <f t="shared" si="245"/>
        <v>7.75</v>
      </c>
      <c r="R184" s="24">
        <f t="shared" si="249"/>
        <v>0</v>
      </c>
      <c r="S184" s="87">
        <v>8.23</v>
      </c>
      <c r="T184" s="21">
        <f t="shared" si="230"/>
        <v>0</v>
      </c>
      <c r="U184" s="21"/>
      <c r="V184" s="24">
        <f t="shared" si="250"/>
        <v>1.98</v>
      </c>
      <c r="W184" s="24">
        <f t="shared" si="232"/>
        <v>2.14</v>
      </c>
      <c r="X184" s="24">
        <f t="shared" si="233"/>
        <v>3.0897895012664862</v>
      </c>
      <c r="Y184" s="25">
        <f t="shared" si="223"/>
        <v>1</v>
      </c>
      <c r="Z184" s="24">
        <f t="shared" si="211"/>
        <v>13.298722091940137</v>
      </c>
      <c r="AA184" s="21">
        <f t="shared" si="234"/>
        <v>0</v>
      </c>
      <c r="AB184" s="24">
        <f t="shared" si="212"/>
        <v>0</v>
      </c>
      <c r="AC184" s="24">
        <f t="shared" si="225"/>
        <v>15.848722091940136</v>
      </c>
      <c r="AD184" s="58">
        <f t="shared" si="235"/>
        <v>223</v>
      </c>
      <c r="AE184" s="58">
        <f t="shared" si="236"/>
        <v>229</v>
      </c>
      <c r="AF184" s="21">
        <f t="shared" si="213"/>
        <v>2.5499999999999998</v>
      </c>
      <c r="AG184" s="77">
        <f t="shared" si="214"/>
        <v>0</v>
      </c>
      <c r="AH184" s="114">
        <f t="shared" si="224"/>
        <v>1.04</v>
      </c>
      <c r="AI184" s="59">
        <f t="shared" si="215"/>
        <v>114.35403715517801</v>
      </c>
      <c r="AJ184" s="59">
        <f t="shared" si="216"/>
        <v>107.5289034424263</v>
      </c>
      <c r="AK184" s="55"/>
      <c r="AL184" s="55">
        <v>1.98</v>
      </c>
      <c r="AM184" s="21">
        <f t="shared" si="237"/>
        <v>0</v>
      </c>
      <c r="AN184" s="54">
        <v>7.75</v>
      </c>
      <c r="AO184" s="55"/>
      <c r="AP184" s="21">
        <f t="shared" si="252"/>
        <v>0</v>
      </c>
      <c r="AQ184" s="55"/>
      <c r="AR184" s="55"/>
      <c r="AS184" s="21">
        <f t="shared" si="253"/>
        <v>0</v>
      </c>
      <c r="AT184" s="54"/>
      <c r="AU184" s="54"/>
      <c r="AV184" s="21"/>
      <c r="AW184" s="54"/>
      <c r="AX184" s="54"/>
      <c r="AY184" s="21"/>
      <c r="AZ184" s="54"/>
      <c r="BA184" s="54"/>
      <c r="BB184" s="21"/>
      <c r="BC184" s="54"/>
      <c r="BD184" s="54"/>
      <c r="BE184" s="21">
        <f t="shared" si="257"/>
        <v>0</v>
      </c>
      <c r="BF184" s="55"/>
      <c r="BG184" s="55"/>
      <c r="BH184" s="21"/>
      <c r="BI184" s="55"/>
      <c r="BJ184" s="55"/>
      <c r="BK184" s="21">
        <f t="shared" si="259"/>
        <v>0</v>
      </c>
      <c r="BL184" s="55"/>
      <c r="BM184" s="55"/>
      <c r="BN184" s="21">
        <f t="shared" si="260"/>
        <v>0</v>
      </c>
      <c r="BO184" s="55"/>
      <c r="BP184" s="55"/>
      <c r="BQ184" s="21">
        <f t="shared" si="261"/>
        <v>0</v>
      </c>
      <c r="BR184" s="55"/>
      <c r="BS184" s="21">
        <f t="shared" si="238"/>
        <v>0</v>
      </c>
      <c r="BT184" s="56">
        <v>0</v>
      </c>
      <c r="BU184" s="56"/>
      <c r="BV184" s="21">
        <f t="shared" si="262"/>
        <v>0</v>
      </c>
      <c r="BW184" s="77">
        <f t="shared" si="217"/>
        <v>0</v>
      </c>
      <c r="BX184" s="55"/>
      <c r="BY184" s="21">
        <f t="shared" si="263"/>
        <v>0</v>
      </c>
      <c r="BZ184" s="55"/>
      <c r="CA184" s="55"/>
      <c r="CB184" s="21">
        <f t="shared" si="264"/>
        <v>0</v>
      </c>
      <c r="CC184" s="55"/>
      <c r="CD184" s="55"/>
      <c r="CE184" s="21">
        <f t="shared" si="265"/>
        <v>0</v>
      </c>
      <c r="CF184" s="21"/>
      <c r="CG184" s="21"/>
      <c r="CH184" s="21">
        <f t="shared" si="218"/>
        <v>0</v>
      </c>
      <c r="CI184" s="25">
        <f t="shared" si="219"/>
        <v>0</v>
      </c>
      <c r="CJ184" s="54"/>
      <c r="CK184" s="21">
        <f t="shared" si="267"/>
        <v>0</v>
      </c>
      <c r="CL184" s="55"/>
      <c r="CM184" s="55"/>
      <c r="CN184" s="60"/>
      <c r="CO184" s="55" t="s">
        <v>226</v>
      </c>
      <c r="CP184" s="55"/>
      <c r="CQ184" s="55"/>
      <c r="CR184" s="55"/>
      <c r="CS184" s="55"/>
      <c r="CT184" s="55"/>
      <c r="CU184" s="55"/>
      <c r="CV184" s="55"/>
      <c r="CW184" s="55"/>
      <c r="CX184" s="55"/>
      <c r="CY184" s="21">
        <f t="shared" si="266"/>
        <v>0</v>
      </c>
      <c r="CZ184" s="56"/>
      <c r="DA184" s="56"/>
      <c r="DB184" s="56"/>
      <c r="DC184" s="56"/>
      <c r="DD184" s="61">
        <f t="shared" si="221"/>
        <v>0</v>
      </c>
      <c r="DE184" s="21">
        <f t="shared" si="222"/>
        <v>17</v>
      </c>
      <c r="DF184" s="55">
        <v>14.15</v>
      </c>
      <c r="DG184" s="55"/>
      <c r="DH184" s="55"/>
      <c r="DI184" s="55">
        <v>17</v>
      </c>
      <c r="DJ184" s="104"/>
      <c r="DK184" s="53"/>
      <c r="DM184" s="58">
        <f t="shared" si="205"/>
        <v>584.24159135999992</v>
      </c>
      <c r="DN184" s="58">
        <f t="shared" si="242"/>
        <v>438.56</v>
      </c>
      <c r="DO184" s="21">
        <f t="shared" si="243"/>
        <v>0.75064837301144249</v>
      </c>
      <c r="DP184" s="62">
        <f t="shared" si="268"/>
        <v>1.0320529504742797</v>
      </c>
      <c r="DQ184" s="7">
        <v>0</v>
      </c>
      <c r="DR184" s="107">
        <f t="shared" si="206"/>
        <v>0</v>
      </c>
    </row>
    <row r="185" spans="1:137" ht="12.75" customHeight="1" x14ac:dyDescent="0.2">
      <c r="A185" s="53" t="s">
        <v>500</v>
      </c>
      <c r="B185" s="54">
        <v>2</v>
      </c>
      <c r="C185" s="92">
        <f t="shared" si="247"/>
        <v>115.25849648002776</v>
      </c>
      <c r="D185" s="92">
        <f t="shared" si="248"/>
        <v>110.57629017738468</v>
      </c>
      <c r="E185" s="92">
        <f>VLOOKUP(A185,[3]TRTOTAL!$A$7:$D$313,3,FALSE)</f>
        <v>115.25849648002776</v>
      </c>
      <c r="F185" s="92">
        <f>VLOOKUP(A185,[3]TRTOTAL!$A$7:$D$313,4,FALSE)</f>
        <v>110.57629017738468</v>
      </c>
      <c r="G185" s="92">
        <f t="shared" si="209"/>
        <v>0</v>
      </c>
      <c r="H185" s="92">
        <f t="shared" si="210"/>
        <v>0</v>
      </c>
      <c r="I185" s="54">
        <v>5.08</v>
      </c>
      <c r="J185" s="56">
        <v>5.08</v>
      </c>
      <c r="K185" s="54">
        <v>2.44</v>
      </c>
      <c r="L185" s="57">
        <v>2</v>
      </c>
      <c r="M185" s="57"/>
      <c r="N185" s="57">
        <v>157</v>
      </c>
      <c r="O185" s="87" t="s">
        <v>133</v>
      </c>
      <c r="P185" s="24">
        <f t="shared" si="228"/>
        <v>14.15</v>
      </c>
      <c r="Q185" s="24">
        <f t="shared" si="245"/>
        <v>7.75</v>
      </c>
      <c r="R185" s="24">
        <f t="shared" si="249"/>
        <v>3.71</v>
      </c>
      <c r="S185" s="87">
        <v>8.23</v>
      </c>
      <c r="T185" s="21">
        <f t="shared" si="230"/>
        <v>5.05</v>
      </c>
      <c r="U185" s="21"/>
      <c r="V185" s="24">
        <f t="shared" si="250"/>
        <v>1.98</v>
      </c>
      <c r="W185" s="24">
        <f t="shared" si="232"/>
        <v>2.14</v>
      </c>
      <c r="X185" s="24">
        <f t="shared" si="233"/>
        <v>3.0897895012664862</v>
      </c>
      <c r="Y185" s="25">
        <f t="shared" si="223"/>
        <v>1</v>
      </c>
      <c r="Z185" s="24">
        <f t="shared" si="211"/>
        <v>13.298722091940137</v>
      </c>
      <c r="AA185" s="21">
        <f t="shared" si="234"/>
        <v>0</v>
      </c>
      <c r="AB185" s="24">
        <f t="shared" si="212"/>
        <v>3.339</v>
      </c>
      <c r="AC185" s="24">
        <f t="shared" si="225"/>
        <v>18.753652091940136</v>
      </c>
      <c r="AD185" s="58">
        <f t="shared" si="235"/>
        <v>301</v>
      </c>
      <c r="AE185" s="58">
        <f t="shared" si="236"/>
        <v>307</v>
      </c>
      <c r="AF185" s="21">
        <f t="shared" si="213"/>
        <v>2.5499999999999998</v>
      </c>
      <c r="AG185" s="77">
        <f t="shared" si="214"/>
        <v>0</v>
      </c>
      <c r="AH185" s="114">
        <f t="shared" si="224"/>
        <v>1.04</v>
      </c>
      <c r="AI185" s="59">
        <f t="shared" si="215"/>
        <v>115.25849648002776</v>
      </c>
      <c r="AJ185" s="59">
        <f t="shared" si="216"/>
        <v>110.57629017738468</v>
      </c>
      <c r="AK185" s="55"/>
      <c r="AL185" s="55">
        <v>1.98</v>
      </c>
      <c r="AM185" s="21">
        <f t="shared" si="237"/>
        <v>0</v>
      </c>
      <c r="AN185" s="54">
        <v>7.75</v>
      </c>
      <c r="AO185" s="55"/>
      <c r="AP185" s="21">
        <f t="shared" si="252"/>
        <v>0</v>
      </c>
      <c r="AQ185" s="55"/>
      <c r="AR185" s="55"/>
      <c r="AS185" s="21">
        <f t="shared" si="253"/>
        <v>0</v>
      </c>
      <c r="AT185" s="54"/>
      <c r="AU185" s="54"/>
      <c r="AV185" s="21">
        <f t="shared" ref="AV185:AV193" si="269">AT185*AU185*0.5</f>
        <v>0</v>
      </c>
      <c r="AW185" s="54"/>
      <c r="AX185" s="54"/>
      <c r="AY185" s="21">
        <f t="shared" ref="AY185:AY193" si="270">AW185*AX185*0.5</f>
        <v>0</v>
      </c>
      <c r="AZ185" s="54"/>
      <c r="BA185" s="54"/>
      <c r="BB185" s="21">
        <f t="shared" ref="BB185:BB193" si="271">AZ185*BA185*2/3</f>
        <v>0</v>
      </c>
      <c r="BC185" s="54"/>
      <c r="BD185" s="54"/>
      <c r="BE185" s="21">
        <f t="shared" si="257"/>
        <v>0</v>
      </c>
      <c r="BF185" s="55"/>
      <c r="BG185" s="55"/>
      <c r="BH185" s="21">
        <f t="shared" ref="BH185:BH193" si="272">BF185*BG185*0.5</f>
        <v>0</v>
      </c>
      <c r="BI185" s="55"/>
      <c r="BJ185" s="55"/>
      <c r="BK185" s="21">
        <f t="shared" si="259"/>
        <v>0</v>
      </c>
      <c r="BL185" s="55"/>
      <c r="BM185" s="55"/>
      <c r="BN185" s="21">
        <f t="shared" si="260"/>
        <v>0</v>
      </c>
      <c r="BO185" s="55"/>
      <c r="BP185" s="55"/>
      <c r="BQ185" s="21">
        <f t="shared" si="261"/>
        <v>0</v>
      </c>
      <c r="BR185" s="55"/>
      <c r="BS185" s="21">
        <f t="shared" si="238"/>
        <v>0</v>
      </c>
      <c r="BT185" s="56"/>
      <c r="BU185" s="56"/>
      <c r="BV185" s="21">
        <f t="shared" si="262"/>
        <v>0</v>
      </c>
      <c r="BW185" s="77">
        <f t="shared" si="217"/>
        <v>0</v>
      </c>
      <c r="BX185" s="55"/>
      <c r="BY185" s="21">
        <f t="shared" si="263"/>
        <v>0</v>
      </c>
      <c r="BZ185" s="55"/>
      <c r="CA185" s="55"/>
      <c r="CB185" s="21">
        <f t="shared" si="264"/>
        <v>0</v>
      </c>
      <c r="CC185" s="55"/>
      <c r="CD185" s="55"/>
      <c r="CE185" s="21">
        <f t="shared" si="265"/>
        <v>0</v>
      </c>
      <c r="CF185" s="21"/>
      <c r="CG185" s="21"/>
      <c r="CH185" s="21">
        <f t="shared" si="218"/>
        <v>0</v>
      </c>
      <c r="CI185" s="25">
        <f t="shared" si="219"/>
        <v>3.71</v>
      </c>
      <c r="CJ185" s="54"/>
      <c r="CK185" s="21">
        <f t="shared" si="267"/>
        <v>0</v>
      </c>
      <c r="CL185" s="55"/>
      <c r="CM185" s="55"/>
      <c r="CN185" s="60"/>
      <c r="CO185" s="55" t="s">
        <v>226</v>
      </c>
      <c r="CP185" s="55"/>
      <c r="CQ185" s="55"/>
      <c r="CR185" s="55"/>
      <c r="CS185" s="55"/>
      <c r="CT185" s="55"/>
      <c r="CU185" s="55"/>
      <c r="CV185" s="55"/>
      <c r="CW185" s="55"/>
      <c r="CX185" s="55"/>
      <c r="CY185" s="21">
        <f t="shared" si="266"/>
        <v>0</v>
      </c>
      <c r="CZ185" s="56"/>
      <c r="DA185" s="56"/>
      <c r="DB185" s="56"/>
      <c r="DC185" s="56"/>
      <c r="DD185" s="61">
        <f t="shared" si="221"/>
        <v>0</v>
      </c>
      <c r="DE185" s="21">
        <f t="shared" si="222"/>
        <v>17</v>
      </c>
      <c r="DF185" s="55">
        <v>14.15</v>
      </c>
      <c r="DG185" s="55">
        <v>3.71</v>
      </c>
      <c r="DH185" s="55">
        <v>5.05</v>
      </c>
      <c r="DI185" s="55">
        <v>17</v>
      </c>
      <c r="DJ185" s="104"/>
      <c r="DK185" s="53"/>
      <c r="DM185" s="58">
        <f t="shared" si="205"/>
        <v>680.23733205119993</v>
      </c>
      <c r="DN185" s="58">
        <f t="shared" si="242"/>
        <v>700.22</v>
      </c>
      <c r="DO185" s="21">
        <f t="shared" si="243"/>
        <v>1.0293760236424307</v>
      </c>
      <c r="DP185" s="62">
        <f t="shared" si="268"/>
        <v>1</v>
      </c>
      <c r="DQ185" s="7">
        <v>0</v>
      </c>
      <c r="DR185" s="107">
        <f t="shared" si="206"/>
        <v>0</v>
      </c>
    </row>
    <row r="186" spans="1:137" ht="12.75" customHeight="1" x14ac:dyDescent="0.2">
      <c r="A186" s="53" t="s">
        <v>588</v>
      </c>
      <c r="B186" s="54">
        <v>2</v>
      </c>
      <c r="C186" s="92">
        <f>AI186*PowerFactor</f>
        <v>114.45692955203154</v>
      </c>
      <c r="D186" s="92">
        <f>AJ186*PowerFactor*IF(crew=1,1.01,1)</f>
        <v>110.06302452639632</v>
      </c>
      <c r="E186" s="92" t="e">
        <v>#N/A</v>
      </c>
      <c r="F186" s="92" t="e">
        <v>#N/A</v>
      </c>
      <c r="G186" s="92"/>
      <c r="H186" s="92"/>
      <c r="I186" s="54">
        <v>5.03</v>
      </c>
      <c r="J186" s="56">
        <v>5.03</v>
      </c>
      <c r="K186" s="54">
        <v>2.5</v>
      </c>
      <c r="L186" s="57">
        <v>2</v>
      </c>
      <c r="M186" s="57">
        <v>145</v>
      </c>
      <c r="N186" s="57"/>
      <c r="O186" s="87" t="s">
        <v>133</v>
      </c>
      <c r="P186" s="24">
        <f>marea+areaMast+mssam+mareNoDet</f>
        <v>14.2</v>
      </c>
      <c r="Q186" s="24">
        <f t="shared" si="245"/>
        <v>7.75</v>
      </c>
      <c r="R186" s="24">
        <f>CI186</f>
        <v>3.8</v>
      </c>
      <c r="S186" s="87">
        <v>8.23</v>
      </c>
      <c r="T186" s="21">
        <f>IF(gs_1,gs_1*0.94,VlgNoDetails)</f>
        <v>5.05</v>
      </c>
      <c r="U186" s="21"/>
      <c r="V186" s="24">
        <f>IF(e_sp,e_sp,(IF(mfoot,MAX(CU186:CX186),IF(mainh1,mainh1,vlm*0.3))))</f>
        <v>1.98</v>
      </c>
      <c r="W186" s="24">
        <f>IF(circMast,circMast/2,0.16)+V186</f>
        <v>2.14</v>
      </c>
      <c r="X186" s="24">
        <f>msam/e^2</f>
        <v>3.100707485369901</v>
      </c>
      <c r="Y186" s="25">
        <f>IF(Decksweeper="yes",1,IF(mainh1,(mainh1/V186)^0.7,IF(mfoot&lt;CW186,(mfoot/CW186)^0.7,1)))</f>
        <v>1</v>
      </c>
      <c r="Z186" s="24">
        <f>0.67*X186^0.3*msam*Y186</f>
        <v>13.359843981007346</v>
      </c>
      <c r="AA186" s="21">
        <f>IF(lpg,msag/lpg^2,0)</f>
        <v>0</v>
      </c>
      <c r="AB186" s="24">
        <f>IF(AA186,0.72*AA186^0.3*msag,IF(msag,0.9*msag,0))</f>
        <v>3.42</v>
      </c>
      <c r="AC186" s="24">
        <f>rsam+rsag+IF(rsascr,rsascr-jibred*rsag,rsas-jibred*rsag)</f>
        <v>18.810243981007346</v>
      </c>
      <c r="AD186" s="58">
        <f>IF(wsex,wsex,wsin-6)+crew*(IF(AND(crew=1,msam+msag&gt;=11),75,IF(loa&lt;=4,65,IF(loa&lt;=4.8,70,75))))</f>
        <v>295</v>
      </c>
      <c r="AE186" s="58">
        <f>IF(wsin,wsin,wsex+6)+crew*(IF(AND(crew=1,msam+msag&gt;=11),75,IF(loa&lt;=4,65,IF(loa&lt;=4.8,70,75))))</f>
        <v>301</v>
      </c>
      <c r="AF186" s="21">
        <f>IF(sas,((sas)*0.15),IF(loa&lt;=4.87,IF(crew=1,14*0.15,17*0.15),IF(loa&lt;=5.8,IF(crew=1,17*0.15,21*0.15),IF(loa&lt;=6.71,IF(crew=1,20*0.15,25*0.15),0))))</f>
        <v>2.4750000000000001</v>
      </c>
      <c r="AG186" s="77">
        <f>IF(AND(ars&lt;0.75*(AND(ars&gt;0)),(sas/msam&gt;0.75)),(sas*(12/ars^1.1)*0.01),0)</f>
        <v>0</v>
      </c>
      <c r="AH186" s="114">
        <f t="shared" si="224"/>
        <v>1.04</v>
      </c>
      <c r="AI186" s="59">
        <f>100/(1.15*rl^0.3*(rsam+rsag)^0.4/rwex^0.325)*corcb</f>
        <v>114.45692955203154</v>
      </c>
      <c r="AJ186" s="59">
        <f>100/(1.15*rl^0.3*rsa^0.4/rwin^0.325)*corcb</f>
        <v>110.06302452639632</v>
      </c>
      <c r="AK186" s="55"/>
      <c r="AL186" s="55">
        <v>1.98</v>
      </c>
      <c r="AM186" s="21">
        <f>AK186*AL186*0.5</f>
        <v>0</v>
      </c>
      <c r="AN186" s="54">
        <v>7.75</v>
      </c>
      <c r="AO186" s="55"/>
      <c r="AP186" s="21">
        <f>AN186*AO186*2/3</f>
        <v>0</v>
      </c>
      <c r="AQ186" s="55"/>
      <c r="AR186" s="55"/>
      <c r="AS186" s="21">
        <f>AQ186*AR186*2/3</f>
        <v>0</v>
      </c>
      <c r="AT186" s="54"/>
      <c r="AU186" s="54"/>
      <c r="AV186" s="21">
        <f>AT186*AU186*0.5</f>
        <v>0</v>
      </c>
      <c r="AW186" s="54"/>
      <c r="AX186" s="54"/>
      <c r="AY186" s="21">
        <f>AW186*AX186*0.5</f>
        <v>0</v>
      </c>
      <c r="AZ186" s="54"/>
      <c r="BA186" s="54"/>
      <c r="BB186" s="21">
        <f>AZ186*BA186*2/3</f>
        <v>0</v>
      </c>
      <c r="BC186" s="54"/>
      <c r="BD186" s="54"/>
      <c r="BE186" s="21">
        <f>BC186*BD186*2/3</f>
        <v>0</v>
      </c>
      <c r="BF186" s="55"/>
      <c r="BG186" s="55"/>
      <c r="BH186" s="21">
        <f>BF186*BG186*0.5</f>
        <v>0</v>
      </c>
      <c r="BI186" s="55"/>
      <c r="BJ186" s="55"/>
      <c r="BK186" s="21">
        <f>BI186*BJ186*2/3</f>
        <v>0</v>
      </c>
      <c r="BL186" s="55"/>
      <c r="BM186" s="55"/>
      <c r="BN186" s="21">
        <f>BL186*BM186*0.5</f>
        <v>0</v>
      </c>
      <c r="BO186" s="55"/>
      <c r="BP186" s="55"/>
      <c r="BQ186" s="21">
        <f>BO186*BP186*0.5</f>
        <v>0</v>
      </c>
      <c r="BR186" s="55"/>
      <c r="BS186" s="21">
        <f>AM186+AP186+AS186+AV186+AY186+BB186+BE186+BH186+BK186+BN186+BQ186</f>
        <v>0</v>
      </c>
      <c r="BT186" s="56"/>
      <c r="BU186" s="56"/>
      <c r="BV186" s="21">
        <f>BT186*BU186*0.5</f>
        <v>0</v>
      </c>
      <c r="BW186" s="77">
        <f>BT186-CF186</f>
        <v>0</v>
      </c>
      <c r="BX186" s="55"/>
      <c r="BY186" s="21">
        <f>BW186*BX186*2/3</f>
        <v>0</v>
      </c>
      <c r="BZ186" s="55"/>
      <c r="CA186" s="55"/>
      <c r="CB186" s="21">
        <f>BZ186*CA186*2/3</f>
        <v>0</v>
      </c>
      <c r="CC186" s="55"/>
      <c r="CD186" s="55"/>
      <c r="CE186" s="21">
        <f>CC186*CD186*2/3</f>
        <v>0</v>
      </c>
      <c r="CF186" s="21"/>
      <c r="CG186" s="21"/>
      <c r="CH186" s="21">
        <f>CF186*CG186*0.5</f>
        <v>0</v>
      </c>
      <c r="CI186" s="25">
        <f>BV186+BY186+CB186+CE186+CH186+DG186</f>
        <v>3.8</v>
      </c>
      <c r="CJ186" s="54"/>
      <c r="CK186" s="21">
        <f>MastLength*circMast*0.5</f>
        <v>0</v>
      </c>
      <c r="CL186" s="55"/>
      <c r="CM186" s="55"/>
      <c r="CN186" s="60"/>
      <c r="CO186" s="55"/>
      <c r="CP186" s="55"/>
      <c r="CQ186" s="55"/>
      <c r="CR186" s="55"/>
      <c r="CS186" s="55"/>
      <c r="CT186" s="55"/>
      <c r="CU186" s="55"/>
      <c r="CV186" s="55"/>
      <c r="CW186" s="55"/>
      <c r="CX186" s="55"/>
      <c r="CY186" s="21">
        <f>(CT186+4*CU186+2*CV186+4*CW186+CX186)*AN186/12</f>
        <v>0</v>
      </c>
      <c r="CZ186" s="56"/>
      <c r="DA186" s="56"/>
      <c r="DB186" s="56"/>
      <c r="DC186" s="56"/>
      <c r="DD186" s="61">
        <f>IF(CZ186,DC186/CZ186,smg_sf_no_details)</f>
        <v>0</v>
      </c>
      <c r="DE186" s="21">
        <f>IF(CZ186,CZ186*(DA186+DB186)/4+(DC186-CZ186/2)*(DA186+DB186)/3,sas_no_details)</f>
        <v>16.5</v>
      </c>
      <c r="DF186" s="55">
        <v>14.2</v>
      </c>
      <c r="DG186" s="55">
        <v>3.8</v>
      </c>
      <c r="DH186" s="55">
        <v>5.05</v>
      </c>
      <c r="DI186" s="55">
        <v>16.5</v>
      </c>
      <c r="DJ186" s="104"/>
      <c r="DK186" s="53" t="s">
        <v>589</v>
      </c>
      <c r="DM186" s="58">
        <f>((0.42*vlm+IF(Decksweeper="yes",0.98,1))*msam+(0.33*vlg+1)*msag)*DynPress</f>
        <v>684.63052761599977</v>
      </c>
      <c r="DN186" s="58">
        <f>IF(wsex,0.5*wsex*width+(rwex-wsex)*width+trapeze*(rwex-wsex)/crew,0.5*(wsin-6)*width+(rwin-wsin)*width+trapeze*(rwin-wsin)/crew)</f>
        <v>706.25</v>
      </c>
      <c r="DO186" s="21">
        <f>righting/heeling</f>
        <v>1.0315783061256163</v>
      </c>
      <c r="DP186" s="62">
        <f>IF((1/DO186)^$DP$5&lt;1,1,(1/DO186)^$DP$5)</f>
        <v>1</v>
      </c>
      <c r="DQ186" s="7">
        <v>0</v>
      </c>
      <c r="DR186" s="107">
        <f>IF((vlm/MastLength)&gt;0.99,"yes",0)</f>
        <v>0</v>
      </c>
    </row>
    <row r="187" spans="1:137" ht="12.75" customHeight="1" x14ac:dyDescent="0.2">
      <c r="A187" s="53" t="s">
        <v>501</v>
      </c>
      <c r="B187" s="54">
        <v>2</v>
      </c>
      <c r="C187" s="92">
        <f t="shared" si="247"/>
        <v>108.85292133548577</v>
      </c>
      <c r="D187" s="92">
        <f t="shared" si="248"/>
        <v>104.05659710424685</v>
      </c>
      <c r="E187" s="92">
        <f>VLOOKUP(A187,[3]TRTOTAL!$A$7:$D$313,3,FALSE)</f>
        <v>108.85292133548577</v>
      </c>
      <c r="F187" s="92">
        <f>VLOOKUP(A187,[3]TRTOTAL!$A$7:$D$313,4,FALSE)</f>
        <v>104.05659710424685</v>
      </c>
      <c r="G187" s="92">
        <f t="shared" si="209"/>
        <v>0</v>
      </c>
      <c r="H187" s="92">
        <f t="shared" si="210"/>
        <v>0</v>
      </c>
      <c r="I187" s="54">
        <v>5.65</v>
      </c>
      <c r="J187" s="56">
        <v>5.65</v>
      </c>
      <c r="K187" s="54">
        <v>2.5</v>
      </c>
      <c r="L187" s="57">
        <v>2</v>
      </c>
      <c r="M187" s="57"/>
      <c r="N187" s="57">
        <v>170</v>
      </c>
      <c r="O187" s="87" t="s">
        <v>133</v>
      </c>
      <c r="P187" s="24">
        <f t="shared" si="228"/>
        <v>16.55</v>
      </c>
      <c r="Q187" s="24">
        <f t="shared" si="245"/>
        <v>8.36</v>
      </c>
      <c r="R187" s="24">
        <f t="shared" si="249"/>
        <v>4.55</v>
      </c>
      <c r="S187" s="87">
        <v>9</v>
      </c>
      <c r="T187" s="21">
        <f t="shared" si="230"/>
        <v>6</v>
      </c>
      <c r="U187" s="21"/>
      <c r="V187" s="24">
        <f t="shared" si="250"/>
        <v>2.2799999999999998</v>
      </c>
      <c r="W187" s="24">
        <f t="shared" si="232"/>
        <v>2.44</v>
      </c>
      <c r="X187" s="24">
        <f t="shared" si="233"/>
        <v>2.77983069067455</v>
      </c>
      <c r="Y187" s="25">
        <f t="shared" si="223"/>
        <v>1</v>
      </c>
      <c r="Z187" s="24">
        <f t="shared" si="211"/>
        <v>15.068787359131099</v>
      </c>
      <c r="AA187" s="21">
        <f t="shared" si="234"/>
        <v>0</v>
      </c>
      <c r="AB187" s="24">
        <f t="shared" si="212"/>
        <v>4.0949999999999998</v>
      </c>
      <c r="AC187" s="24">
        <f t="shared" si="225"/>
        <v>21.7814373591311</v>
      </c>
      <c r="AD187" s="58">
        <f t="shared" si="235"/>
        <v>314</v>
      </c>
      <c r="AE187" s="58">
        <f t="shared" si="236"/>
        <v>320</v>
      </c>
      <c r="AF187" s="21">
        <f t="shared" si="213"/>
        <v>3.15</v>
      </c>
      <c r="AG187" s="77">
        <f t="shared" si="214"/>
        <v>0</v>
      </c>
      <c r="AH187" s="114">
        <f t="shared" si="224"/>
        <v>1.04</v>
      </c>
      <c r="AI187" s="59">
        <f t="shared" si="215"/>
        <v>106.96225812072908</v>
      </c>
      <c r="AJ187" s="59">
        <f t="shared" si="216"/>
        <v>102.24924110512382</v>
      </c>
      <c r="AK187" s="55"/>
      <c r="AL187" s="55">
        <v>2.2799999999999998</v>
      </c>
      <c r="AM187" s="21">
        <f t="shared" si="237"/>
        <v>0</v>
      </c>
      <c r="AN187" s="54">
        <v>8.36</v>
      </c>
      <c r="AO187" s="55"/>
      <c r="AP187" s="21">
        <f t="shared" si="252"/>
        <v>0</v>
      </c>
      <c r="AQ187" s="55"/>
      <c r="AR187" s="55"/>
      <c r="AS187" s="21">
        <f t="shared" si="253"/>
        <v>0</v>
      </c>
      <c r="AT187" s="54"/>
      <c r="AU187" s="54"/>
      <c r="AV187" s="21">
        <f t="shared" si="269"/>
        <v>0</v>
      </c>
      <c r="AW187" s="54"/>
      <c r="AX187" s="54"/>
      <c r="AY187" s="21">
        <f t="shared" si="270"/>
        <v>0</v>
      </c>
      <c r="AZ187" s="54"/>
      <c r="BA187" s="54"/>
      <c r="BB187" s="21">
        <f t="shared" si="271"/>
        <v>0</v>
      </c>
      <c r="BC187" s="54"/>
      <c r="BD187" s="54"/>
      <c r="BE187" s="21">
        <f t="shared" si="257"/>
        <v>0</v>
      </c>
      <c r="BF187" s="55"/>
      <c r="BG187" s="55"/>
      <c r="BH187" s="21">
        <f t="shared" si="272"/>
        <v>0</v>
      </c>
      <c r="BI187" s="55"/>
      <c r="BJ187" s="55"/>
      <c r="BK187" s="21">
        <f t="shared" si="259"/>
        <v>0</v>
      </c>
      <c r="BL187" s="55"/>
      <c r="BM187" s="55"/>
      <c r="BN187" s="21">
        <f t="shared" si="260"/>
        <v>0</v>
      </c>
      <c r="BO187" s="55"/>
      <c r="BP187" s="55"/>
      <c r="BQ187" s="21">
        <f t="shared" si="261"/>
        <v>0</v>
      </c>
      <c r="BR187" s="55"/>
      <c r="BS187" s="21">
        <f t="shared" si="238"/>
        <v>0</v>
      </c>
      <c r="BT187" s="56"/>
      <c r="BU187" s="56"/>
      <c r="BV187" s="21"/>
      <c r="BW187" s="77">
        <f t="shared" si="217"/>
        <v>0</v>
      </c>
      <c r="BX187" s="55"/>
      <c r="BY187" s="21"/>
      <c r="BZ187" s="55"/>
      <c r="CA187" s="55"/>
      <c r="CB187" s="21"/>
      <c r="CC187" s="54"/>
      <c r="CD187" s="54"/>
      <c r="CE187" s="21"/>
      <c r="CF187" s="21"/>
      <c r="CG187" s="21"/>
      <c r="CH187" s="21">
        <f t="shared" si="218"/>
        <v>0</v>
      </c>
      <c r="CI187" s="25">
        <f t="shared" si="219"/>
        <v>4.55</v>
      </c>
      <c r="CJ187" s="54"/>
      <c r="CK187" s="21">
        <f t="shared" si="267"/>
        <v>0</v>
      </c>
      <c r="CL187" s="55"/>
      <c r="CM187" s="55"/>
      <c r="CN187" s="60"/>
      <c r="CO187" s="55" t="s">
        <v>226</v>
      </c>
      <c r="CP187" s="55"/>
      <c r="CQ187" s="55"/>
      <c r="CR187" s="55"/>
      <c r="CS187" s="55"/>
      <c r="CT187" s="55"/>
      <c r="CU187" s="55"/>
      <c r="CV187" s="55"/>
      <c r="CW187" s="55"/>
      <c r="CX187" s="55"/>
      <c r="CY187" s="21">
        <f t="shared" si="266"/>
        <v>0</v>
      </c>
      <c r="CZ187" s="56"/>
      <c r="DA187" s="56"/>
      <c r="DB187" s="56"/>
      <c r="DC187" s="56"/>
      <c r="DD187" s="61">
        <f t="shared" si="221"/>
        <v>0</v>
      </c>
      <c r="DE187" s="21">
        <f t="shared" si="222"/>
        <v>0</v>
      </c>
      <c r="DF187" s="55">
        <v>16.55</v>
      </c>
      <c r="DG187" s="55">
        <v>4.55</v>
      </c>
      <c r="DH187" s="55">
        <v>6</v>
      </c>
      <c r="DI187" s="55"/>
      <c r="DJ187" s="104"/>
      <c r="DK187" s="53"/>
      <c r="DM187" s="58">
        <f t="shared" ref="DM187:DM247" si="273">((0.42*vlm+IF(Decksweeper="yes",0.98,1))*msam+(0.33*vlg+1)*msag)*DynPress</f>
        <v>856.05243924479987</v>
      </c>
      <c r="DN187" s="58">
        <f t="shared" si="242"/>
        <v>730</v>
      </c>
      <c r="DO187" s="21">
        <f t="shared" si="243"/>
        <v>0.85275149807878359</v>
      </c>
      <c r="DP187" s="62">
        <f t="shared" si="268"/>
        <v>1.0176759844825143</v>
      </c>
      <c r="DQ187" s="7">
        <v>0</v>
      </c>
      <c r="DR187" s="107">
        <f t="shared" ref="DR187:DR247" si="274">IF((vlm/MastLength)&gt;0.99,"yes",0)</f>
        <v>0</v>
      </c>
    </row>
    <row r="188" spans="1:137" ht="12.75" customHeight="1" x14ac:dyDescent="0.2">
      <c r="A188" s="53" t="s">
        <v>606</v>
      </c>
      <c r="B188" s="54">
        <v>2</v>
      </c>
      <c r="C188" s="92">
        <f>AI188*PowerFactor</f>
        <v>109.21642160154147</v>
      </c>
      <c r="D188" s="92">
        <f>AJ188*PowerFactor*IF(crew=1,1.01,1)</f>
        <v>104.5731327106628</v>
      </c>
      <c r="E188" s="92" t="e">
        <f>VLOOKUP(A188,[3]TRTOTAL!$A$7:$D$313,3,FALSE)</f>
        <v>#N/A</v>
      </c>
      <c r="F188" s="92" t="e">
        <f>VLOOKUP(A188,[3]TRTOTAL!$A$7:$D$313,4,FALSE)</f>
        <v>#N/A</v>
      </c>
      <c r="G188" s="92" t="e">
        <f>C188-E188</f>
        <v>#N/A</v>
      </c>
      <c r="H188" s="92" t="e">
        <f>D188-F188</f>
        <v>#N/A</v>
      </c>
      <c r="I188" s="54">
        <v>5.6</v>
      </c>
      <c r="J188" s="56">
        <v>5.6</v>
      </c>
      <c r="K188" s="54">
        <v>2.5</v>
      </c>
      <c r="L188" s="57">
        <v>2</v>
      </c>
      <c r="M188" s="57"/>
      <c r="N188" s="57">
        <v>173</v>
      </c>
      <c r="O188" s="87" t="s">
        <v>133</v>
      </c>
      <c r="P188" s="24">
        <f>marea+areaMast+mssam+mareNoDet</f>
        <v>16.365108333333332</v>
      </c>
      <c r="Q188" s="24">
        <f>voorvlm1+voorllm2</f>
        <v>8.36</v>
      </c>
      <c r="R188" s="24">
        <f>CI188</f>
        <v>4.2153666666666663</v>
      </c>
      <c r="S188" s="87">
        <v>9.0500000000000007</v>
      </c>
      <c r="T188" s="21">
        <f>IF(gs_1,gs_1*0.94,VlgNoDetails)</f>
        <v>5.4332000000000003</v>
      </c>
      <c r="U188" s="21"/>
      <c r="V188" s="24">
        <f>IF(e_sp,e_sp,(IF(mfoot,MAX(CU188:CX188),IF(mainh1,mainh1,vlm*0.3))))</f>
        <v>2.085</v>
      </c>
      <c r="W188" s="24">
        <f>IF(circMast,circMast/2,0.16)+V188</f>
        <v>2.2749999999999999</v>
      </c>
      <c r="X188" s="24">
        <f>msam/e^2</f>
        <v>3.1619578955842695</v>
      </c>
      <c r="Y188" s="25">
        <f>IF(Decksweeper="yes",1,IF(mainh1,(mainh1/V188)^0.7,IF(mfoot&lt;CW188,(mfoot/CW188)^0.7,1)))</f>
        <v>1</v>
      </c>
      <c r="Z188" s="24">
        <f>0.67*X188^0.3*msam*Y188</f>
        <v>15.487471210015693</v>
      </c>
      <c r="AA188" s="21">
        <f>IF(lpg,msag/lpg^2,0)</f>
        <v>1.7774357676955079</v>
      </c>
      <c r="AB188" s="24">
        <f>IF(AA188,0.72*AA188^0.3*msag,IF(msag,0.9*msag,0))</f>
        <v>3.6066668490593705</v>
      </c>
      <c r="AC188" s="24">
        <f>rsam+rsag+IF(rsascr,rsascr-jibred*rsag,rsas-jibred*rsag)</f>
        <v>21.611555118697346</v>
      </c>
      <c r="AD188" s="58">
        <f>IF(wsex,wsex,wsin-6)+crew*(IF(AND(crew=1,msam+msag&gt;=11),75,IF(loa&lt;=4,65,IF(loa&lt;=4.8,70,75))))</f>
        <v>317</v>
      </c>
      <c r="AE188" s="58">
        <f>IF(wsin,wsin,wsex+6)+crew*(IF(AND(crew=1,msam+msag&gt;=11),75,IF(loa&lt;=4,65,IF(loa&lt;=4.8,70,75))))</f>
        <v>323</v>
      </c>
      <c r="AF188" s="21">
        <f>IF(sas,((sas)*0.15),IF(loa&lt;=4.87,IF(crew=1,14*0.15,17*0.15),IF(loa&lt;=5.8,IF(crew=1,17*0.15,21*0.15),IF(loa&lt;=6.71,IF(crew=1,20*0.15,25*0.15),0))))</f>
        <v>2.9862837499999997</v>
      </c>
      <c r="AG188" s="77">
        <f>IF(AND(ars&lt;0.75*(AND(ars&gt;0)),(sas/msam&gt;0.75)),(sas*(12/ars^1.1)*0.01),0)</f>
        <v>0</v>
      </c>
      <c r="AH188" s="114">
        <f>IF(lb="no",1.04,(IF(lb="",1,(IF(lb="c",0.985,0.95)))))</f>
        <v>1.04</v>
      </c>
      <c r="AI188" s="59">
        <f>100/(1.15*rl^0.3*(rsam+rsag)^0.4/rwex^0.325)*corcb</f>
        <v>107.73661536698215</v>
      </c>
      <c r="AJ188" s="59">
        <f>100/(1.15*rl^0.3*rsa^0.4/rwin^0.325)*corcb</f>
        <v>103.15623979764273</v>
      </c>
      <c r="AK188" s="55">
        <v>8.76</v>
      </c>
      <c r="AL188" s="55">
        <v>2.085</v>
      </c>
      <c r="AM188" s="21">
        <f>AK188*AL188*0.5</f>
        <v>9.132299999999999</v>
      </c>
      <c r="AN188" s="54">
        <v>8.36</v>
      </c>
      <c r="AO188" s="55">
        <v>0.11</v>
      </c>
      <c r="AP188" s="21">
        <f>AN188*AO188*2/3</f>
        <v>0.61306666666666665</v>
      </c>
      <c r="AQ188" s="55">
        <v>2.16</v>
      </c>
      <c r="AR188" s="55">
        <v>0.16</v>
      </c>
      <c r="AS188" s="21">
        <f>AQ188*AR188*2/3</f>
        <v>0.23040000000000002</v>
      </c>
      <c r="AT188" s="54">
        <v>8.48</v>
      </c>
      <c r="AU188" s="54">
        <v>0.62</v>
      </c>
      <c r="AV188" s="21">
        <f>AT188*AU188*0.5</f>
        <v>2.6288</v>
      </c>
      <c r="AW188" s="54">
        <v>4.2300000000000004</v>
      </c>
      <c r="AX188" s="54">
        <v>0.45</v>
      </c>
      <c r="AY188" s="21">
        <f>AW188*AX188*0.5</f>
        <v>0.9517500000000001</v>
      </c>
      <c r="AZ188" s="54">
        <v>4.38</v>
      </c>
      <c r="BA188" s="54">
        <v>0.13500000000000001</v>
      </c>
      <c r="BB188" s="21">
        <f>AZ188*BA188*2/3</f>
        <v>0.39420000000000005</v>
      </c>
      <c r="BC188" s="54">
        <v>2.0699999999999998</v>
      </c>
      <c r="BD188" s="54">
        <v>0.02</v>
      </c>
      <c r="BE188" s="21">
        <f>BC188*BD188*2/3</f>
        <v>2.76E-2</v>
      </c>
      <c r="BF188" s="55">
        <v>2.0699999999999998</v>
      </c>
      <c r="BG188" s="55">
        <v>0.63500000000000001</v>
      </c>
      <c r="BH188" s="21">
        <f>BF188*BG188*0.5</f>
        <v>0.65722499999999995</v>
      </c>
      <c r="BI188" s="55">
        <v>0.77</v>
      </c>
      <c r="BJ188" s="55">
        <v>0.02</v>
      </c>
      <c r="BK188" s="21">
        <f>BI188*BJ188*2/3</f>
        <v>1.0266666666666667E-2</v>
      </c>
      <c r="BL188" s="55"/>
      <c r="BM188" s="55"/>
      <c r="BN188" s="21">
        <f>BL188*BM188*0.5</f>
        <v>0</v>
      </c>
      <c r="BO188" s="55"/>
      <c r="BP188" s="55"/>
      <c r="BQ188" s="21">
        <f>BO188*BP188*0.5</f>
        <v>0</v>
      </c>
      <c r="BR188" s="55"/>
      <c r="BS188" s="21">
        <f>AM188+AP188+AS188+AV188+AY188+BB188+BE188+BH188+BK188+BN188+BQ188</f>
        <v>14.645608333333332</v>
      </c>
      <c r="BT188" s="56">
        <v>5.78</v>
      </c>
      <c r="BU188" s="56">
        <v>1.54</v>
      </c>
      <c r="BV188" s="21">
        <f t="shared" ref="BV188:BV193" si="275">BT188*BU188*0.5</f>
        <v>4.4506000000000006</v>
      </c>
      <c r="BW188" s="77">
        <f>BT188-CF188</f>
        <v>5.78</v>
      </c>
      <c r="BX188" s="55">
        <v>2.5000000000000001E-2</v>
      </c>
      <c r="BY188" s="21">
        <f t="shared" ref="BY188:BY193" si="276">BW188*BX188*2/3</f>
        <v>9.633333333333334E-2</v>
      </c>
      <c r="BZ188" s="56">
        <v>6.02</v>
      </c>
      <c r="CA188" s="56">
        <v>-0.1</v>
      </c>
      <c r="CB188" s="21">
        <f t="shared" ref="CB188:CB193" si="277">BZ188*CA188*2/3</f>
        <v>-0.40133333333333332</v>
      </c>
      <c r="CC188" s="56">
        <v>1.61</v>
      </c>
      <c r="CD188" s="56">
        <v>6.5000000000000002E-2</v>
      </c>
      <c r="CE188" s="21">
        <f t="shared" ref="CE188:CE193" si="278">CC188*CD188*2/3</f>
        <v>6.9766666666666671E-2</v>
      </c>
      <c r="CF188" s="21"/>
      <c r="CG188" s="21"/>
      <c r="CH188" s="21">
        <f>CF188*CG188*0.5</f>
        <v>0</v>
      </c>
      <c r="CI188" s="25">
        <f>BV188+BY188+CB188+CE188+CH188+DG188</f>
        <v>4.2153666666666663</v>
      </c>
      <c r="CJ188" s="54">
        <v>0.38</v>
      </c>
      <c r="CK188" s="21">
        <f>MastLength*circMast*0.5</f>
        <v>1.7195000000000003</v>
      </c>
      <c r="CL188" s="55">
        <v>1</v>
      </c>
      <c r="CM188" s="55" t="s">
        <v>385</v>
      </c>
      <c r="CN188" s="60">
        <v>45078</v>
      </c>
      <c r="CO188" s="55" t="s">
        <v>226</v>
      </c>
      <c r="CP188" s="55">
        <v>75307</v>
      </c>
      <c r="CQ188" s="55">
        <v>75346</v>
      </c>
      <c r="CR188" s="55">
        <v>75308</v>
      </c>
      <c r="CS188" s="55" t="s">
        <v>607</v>
      </c>
      <c r="CT188" s="55"/>
      <c r="CU188" s="55"/>
      <c r="CV188" s="55"/>
      <c r="CW188" s="55"/>
      <c r="CX188" s="55"/>
      <c r="CY188" s="21">
        <f>(CT188+4*CU188+2*CV188+4*CW188+CX188)*AN188/12</f>
        <v>0</v>
      </c>
      <c r="CZ188" s="56">
        <v>3.73</v>
      </c>
      <c r="DA188" s="56">
        <v>8.18</v>
      </c>
      <c r="DB188" s="56">
        <v>7.61</v>
      </c>
      <c r="DC188" s="56">
        <v>2.85</v>
      </c>
      <c r="DD188" s="61">
        <f>IF(CZ188,DC188/CZ188,smg_sf_no_details)</f>
        <v>0.76407506702412875</v>
      </c>
      <c r="DE188" s="21">
        <f>IF(CZ188,CZ188*(DA188+DB188)/4+(DC188-CZ188/2)*(DA188+DB188)/3,sas_no_details)</f>
        <v>19.908558333333332</v>
      </c>
      <c r="DF188" s="55"/>
      <c r="DG188" s="55"/>
      <c r="DH188" s="55"/>
      <c r="DI188" s="55"/>
      <c r="DJ188" s="104"/>
      <c r="DK188" s="53"/>
      <c r="DM188" s="58">
        <f>((0.42*vlm+IF(Decksweeper="yes",0.98,1))*msam+(0.33*vlg+1)*msag)*DynPress</f>
        <v>830.6312268368805</v>
      </c>
      <c r="DN188" s="58">
        <f>IF(wsex,0.5*wsex*width+(rwex-wsex)*width+trapeze*(rwex-wsex)/crew,0.5*(wsin-6)*width+(rwin-wsin)*width+trapeze*(rwin-wsin)/crew)</f>
        <v>733.75</v>
      </c>
      <c r="DO188" s="21">
        <f>righting/heeling</f>
        <v>0.88336433340483356</v>
      </c>
      <c r="DP188" s="62">
        <f>IF((1/DO188)^$DP$5&lt;1,1,(1/DO188)^$DP$5)</f>
        <v>1.013735406755806</v>
      </c>
      <c r="DQ188" s="7">
        <v>0</v>
      </c>
      <c r="DR188" s="107">
        <f>IF((vlm/MastLength)&gt;0.99,"yes",0)</f>
        <v>0</v>
      </c>
    </row>
    <row r="189" spans="1:137" ht="12.75" customHeight="1" x14ac:dyDescent="0.2">
      <c r="A189" s="53" t="s">
        <v>502</v>
      </c>
      <c r="B189" s="54">
        <v>2</v>
      </c>
      <c r="C189" s="92">
        <f t="shared" si="247"/>
        <v>105.78676214793825</v>
      </c>
      <c r="D189" s="92">
        <f t="shared" si="248"/>
        <v>100.0242197848666</v>
      </c>
      <c r="E189" s="92">
        <f>VLOOKUP(A189,[3]TRTOTAL!$A$7:$D$313,3,FALSE)</f>
        <v>105.78676214793825</v>
      </c>
      <c r="F189" s="92">
        <f>VLOOKUP(A189,[3]TRTOTAL!$A$7:$D$313,4,FALSE)</f>
        <v>100.0242197848666</v>
      </c>
      <c r="G189" s="92">
        <f t="shared" si="209"/>
        <v>0</v>
      </c>
      <c r="H189" s="92">
        <f t="shared" si="210"/>
        <v>0</v>
      </c>
      <c r="I189" s="54">
        <v>5.85</v>
      </c>
      <c r="J189" s="56">
        <v>5.85</v>
      </c>
      <c r="K189" s="54">
        <v>2.6</v>
      </c>
      <c r="L189" s="57">
        <v>2</v>
      </c>
      <c r="M189" s="57"/>
      <c r="N189" s="57">
        <v>195</v>
      </c>
      <c r="O189" s="87"/>
      <c r="P189" s="24">
        <f t="shared" si="228"/>
        <v>17.57</v>
      </c>
      <c r="Q189" s="24">
        <f t="shared" si="245"/>
        <v>8.6</v>
      </c>
      <c r="R189" s="24">
        <f t="shared" si="249"/>
        <v>4.55</v>
      </c>
      <c r="S189" s="87">
        <v>9</v>
      </c>
      <c r="T189" s="21">
        <f t="shared" si="230"/>
        <v>5.53</v>
      </c>
      <c r="U189" s="21"/>
      <c r="V189" s="24">
        <f t="shared" si="250"/>
        <v>2.5799999999999996</v>
      </c>
      <c r="W189" s="24">
        <f t="shared" si="232"/>
        <v>2.7399999999999998</v>
      </c>
      <c r="X189" s="24">
        <f t="shared" si="233"/>
        <v>2.3402951675635357</v>
      </c>
      <c r="Y189" s="25">
        <f t="shared" si="223"/>
        <v>1</v>
      </c>
      <c r="Z189" s="24">
        <f t="shared" si="211"/>
        <v>15.192447874534134</v>
      </c>
      <c r="AA189" s="21">
        <f t="shared" si="234"/>
        <v>0</v>
      </c>
      <c r="AB189" s="24">
        <f t="shared" si="212"/>
        <v>4.0949999999999998</v>
      </c>
      <c r="AC189" s="24">
        <f t="shared" si="225"/>
        <v>22.505097874534133</v>
      </c>
      <c r="AD189" s="58">
        <f t="shared" si="235"/>
        <v>339</v>
      </c>
      <c r="AE189" s="58">
        <f t="shared" si="236"/>
        <v>345</v>
      </c>
      <c r="AF189" s="21">
        <f t="shared" si="213"/>
        <v>3.75</v>
      </c>
      <c r="AG189" s="77">
        <f t="shared" si="214"/>
        <v>0</v>
      </c>
      <c r="AH189" s="114">
        <f t="shared" si="224"/>
        <v>1</v>
      </c>
      <c r="AI189" s="59">
        <f t="shared" si="215"/>
        <v>104.078349291866</v>
      </c>
      <c r="AJ189" s="59">
        <f t="shared" si="216"/>
        <v>98.408869626402634</v>
      </c>
      <c r="AK189" s="55"/>
      <c r="AL189" s="55"/>
      <c r="AM189" s="21">
        <f t="shared" si="237"/>
        <v>0</v>
      </c>
      <c r="AN189" s="54">
        <v>8.6</v>
      </c>
      <c r="AO189" s="55"/>
      <c r="AP189" s="21">
        <f t="shared" si="252"/>
        <v>0</v>
      </c>
      <c r="AQ189" s="55"/>
      <c r="AR189" s="55"/>
      <c r="AS189" s="21">
        <f t="shared" si="253"/>
        <v>0</v>
      </c>
      <c r="AT189" s="54"/>
      <c r="AU189" s="54"/>
      <c r="AV189" s="21">
        <f t="shared" si="269"/>
        <v>0</v>
      </c>
      <c r="AW189" s="54"/>
      <c r="AX189" s="54"/>
      <c r="AY189" s="21">
        <f t="shared" si="270"/>
        <v>0</v>
      </c>
      <c r="AZ189" s="54"/>
      <c r="BA189" s="54"/>
      <c r="BB189" s="21">
        <f t="shared" si="271"/>
        <v>0</v>
      </c>
      <c r="BC189" s="54"/>
      <c r="BD189" s="54"/>
      <c r="BE189" s="21">
        <f t="shared" si="257"/>
        <v>0</v>
      </c>
      <c r="BF189" s="55"/>
      <c r="BG189" s="55"/>
      <c r="BH189" s="21">
        <f t="shared" si="272"/>
        <v>0</v>
      </c>
      <c r="BI189" s="55"/>
      <c r="BJ189" s="55"/>
      <c r="BK189" s="21">
        <f t="shared" si="259"/>
        <v>0</v>
      </c>
      <c r="BL189" s="55"/>
      <c r="BM189" s="55"/>
      <c r="BN189" s="21">
        <f t="shared" si="260"/>
        <v>0</v>
      </c>
      <c r="BO189" s="55"/>
      <c r="BP189" s="55"/>
      <c r="BQ189" s="21">
        <f t="shared" si="261"/>
        <v>0</v>
      </c>
      <c r="BR189" s="55"/>
      <c r="BS189" s="21">
        <f t="shared" si="238"/>
        <v>0</v>
      </c>
      <c r="BT189" s="56">
        <v>0</v>
      </c>
      <c r="BU189" s="56"/>
      <c r="BV189" s="21">
        <f t="shared" si="275"/>
        <v>0</v>
      </c>
      <c r="BW189" s="77">
        <f t="shared" si="217"/>
        <v>0</v>
      </c>
      <c r="BX189" s="55"/>
      <c r="BY189" s="21">
        <f t="shared" si="276"/>
        <v>0</v>
      </c>
      <c r="BZ189" s="55"/>
      <c r="CA189" s="55"/>
      <c r="CB189" s="21">
        <f t="shared" si="277"/>
        <v>0</v>
      </c>
      <c r="CC189" s="54"/>
      <c r="CD189" s="54"/>
      <c r="CE189" s="21">
        <f t="shared" si="278"/>
        <v>0</v>
      </c>
      <c r="CF189" s="21"/>
      <c r="CG189" s="21"/>
      <c r="CH189" s="21">
        <f t="shared" si="218"/>
        <v>0</v>
      </c>
      <c r="CI189" s="25">
        <f t="shared" si="219"/>
        <v>4.55</v>
      </c>
      <c r="CJ189" s="54"/>
      <c r="CK189" s="21">
        <f t="shared" si="267"/>
        <v>0</v>
      </c>
      <c r="CL189" s="55"/>
      <c r="CM189" s="55"/>
      <c r="CN189" s="60">
        <v>38139</v>
      </c>
      <c r="CO189" s="55" t="s">
        <v>226</v>
      </c>
      <c r="CP189" s="55"/>
      <c r="CQ189" s="55"/>
      <c r="CR189" s="55"/>
      <c r="CS189" s="55"/>
      <c r="CT189" s="55"/>
      <c r="CU189" s="55"/>
      <c r="CV189" s="55"/>
      <c r="CW189" s="55"/>
      <c r="CX189" s="55"/>
      <c r="CY189" s="21">
        <f t="shared" si="266"/>
        <v>0</v>
      </c>
      <c r="CZ189" s="56"/>
      <c r="DA189" s="56"/>
      <c r="DB189" s="56"/>
      <c r="DC189" s="56"/>
      <c r="DD189" s="61">
        <f t="shared" si="221"/>
        <v>0</v>
      </c>
      <c r="DE189" s="21">
        <f t="shared" si="222"/>
        <v>0</v>
      </c>
      <c r="DF189" s="55">
        <v>17.57</v>
      </c>
      <c r="DG189" s="55">
        <v>4.55</v>
      </c>
      <c r="DH189" s="55">
        <v>5.53</v>
      </c>
      <c r="DI189" s="55"/>
      <c r="DJ189" s="104"/>
      <c r="DK189" s="53" t="s">
        <v>226</v>
      </c>
      <c r="DM189" s="58">
        <f t="shared" si="273"/>
        <v>911.04101047680001</v>
      </c>
      <c r="DN189" s="58">
        <f t="shared" si="242"/>
        <v>785.7</v>
      </c>
      <c r="DO189" s="21">
        <f t="shared" si="243"/>
        <v>0.86242001289140446</v>
      </c>
      <c r="DP189" s="62">
        <f t="shared" si="268"/>
        <v>1.0164146805526417</v>
      </c>
      <c r="DQ189" s="7">
        <v>0</v>
      </c>
      <c r="DR189" s="107">
        <f t="shared" si="274"/>
        <v>0</v>
      </c>
    </row>
    <row r="190" spans="1:137" ht="12.75" customHeight="1" x14ac:dyDescent="0.2">
      <c r="A190" s="53" t="s">
        <v>374</v>
      </c>
      <c r="B190" s="54">
        <v>2</v>
      </c>
      <c r="C190" s="92">
        <f t="shared" si="247"/>
        <v>103.97084124076407</v>
      </c>
      <c r="D190" s="92">
        <f t="shared" si="248"/>
        <v>99.171888721203672</v>
      </c>
      <c r="E190" s="92">
        <f>VLOOKUP(A190,[3]TRTOTAL!$A$7:$D$313,3,FALSE)</f>
        <v>103.97084124076407</v>
      </c>
      <c r="F190" s="92">
        <f>VLOOKUP(A190,[3]TRTOTAL!$A$7:$D$313,4,FALSE)</f>
        <v>99.171888721203672</v>
      </c>
      <c r="G190" s="92">
        <f t="shared" si="209"/>
        <v>0</v>
      </c>
      <c r="H190" s="92">
        <f t="shared" si="210"/>
        <v>0</v>
      </c>
      <c r="I190" s="54">
        <v>6.07</v>
      </c>
      <c r="J190" s="56">
        <v>5.92</v>
      </c>
      <c r="K190" s="54">
        <v>2.59</v>
      </c>
      <c r="L190" s="57">
        <v>2</v>
      </c>
      <c r="M190" s="57"/>
      <c r="N190" s="57">
        <v>202</v>
      </c>
      <c r="O190" s="87"/>
      <c r="P190" s="24">
        <f t="shared" si="228"/>
        <v>17.482542333333335</v>
      </c>
      <c r="Q190" s="24">
        <f t="shared" ref="Q190:Q221" si="279">voorvlm1+voorllm2</f>
        <v>9.338000000000001</v>
      </c>
      <c r="R190" s="24">
        <f t="shared" si="249"/>
        <v>6.2313499999999991</v>
      </c>
      <c r="S190" s="87">
        <v>9.4499999999999993</v>
      </c>
      <c r="T190" s="21">
        <f t="shared" si="230"/>
        <v>6.1193999999999997</v>
      </c>
      <c r="U190" s="21"/>
      <c r="V190" s="24">
        <f t="shared" si="250"/>
        <v>2.3580000000000001</v>
      </c>
      <c r="W190" s="24">
        <f t="shared" si="232"/>
        <v>2.5230000000000001</v>
      </c>
      <c r="X190" s="24">
        <f t="shared" si="233"/>
        <v>2.7464398219430519</v>
      </c>
      <c r="Y190" s="25">
        <f t="shared" si="223"/>
        <v>1</v>
      </c>
      <c r="Z190" s="24">
        <f t="shared" si="211"/>
        <v>15.8602641993727</v>
      </c>
      <c r="AA190" s="21">
        <f t="shared" si="234"/>
        <v>1.4486539039157722</v>
      </c>
      <c r="AB190" s="24">
        <f t="shared" si="212"/>
        <v>5.0142274952256285</v>
      </c>
      <c r="AC190" s="24">
        <f t="shared" si="225"/>
        <v>23.822642120218998</v>
      </c>
      <c r="AD190" s="58">
        <f t="shared" si="235"/>
        <v>346</v>
      </c>
      <c r="AE190" s="58">
        <f t="shared" si="236"/>
        <v>352</v>
      </c>
      <c r="AF190" s="21">
        <f t="shared" si="213"/>
        <v>3.5999999999999996</v>
      </c>
      <c r="AG190" s="77">
        <f t="shared" si="214"/>
        <v>0</v>
      </c>
      <c r="AH190" s="114">
        <f t="shared" si="224"/>
        <v>1</v>
      </c>
      <c r="AI190" s="59">
        <f t="shared" si="215"/>
        <v>101.14839972171822</v>
      </c>
      <c r="AJ190" s="59">
        <f t="shared" si="216"/>
        <v>96.479721831827987</v>
      </c>
      <c r="AK190" s="55">
        <v>8.9239999999999995</v>
      </c>
      <c r="AL190" s="55">
        <v>2.3580000000000001</v>
      </c>
      <c r="AM190" s="21">
        <f t="shared" si="237"/>
        <v>10.521395999999999</v>
      </c>
      <c r="AN190" s="54">
        <v>8.7080000000000002</v>
      </c>
      <c r="AO190" s="55">
        <v>0.114</v>
      </c>
      <c r="AP190" s="21">
        <f t="shared" si="252"/>
        <v>0.66180800000000006</v>
      </c>
      <c r="AQ190" s="55"/>
      <c r="AR190" s="55"/>
      <c r="AS190" s="21">
        <f t="shared" si="253"/>
        <v>0</v>
      </c>
      <c r="AT190" s="54">
        <v>8.9239999999999995</v>
      </c>
      <c r="AU190" s="54">
        <v>0.746</v>
      </c>
      <c r="AV190" s="21">
        <f t="shared" si="269"/>
        <v>3.3286519999999999</v>
      </c>
      <c r="AW190" s="54">
        <v>2.762</v>
      </c>
      <c r="AX190" s="54">
        <v>0.18099999999999999</v>
      </c>
      <c r="AY190" s="21">
        <f t="shared" si="270"/>
        <v>0.24996099999999999</v>
      </c>
      <c r="AZ190" s="54">
        <v>6.31</v>
      </c>
      <c r="BA190" s="54">
        <v>0.13700000000000001</v>
      </c>
      <c r="BB190" s="21">
        <f t="shared" si="271"/>
        <v>0.57631333333333334</v>
      </c>
      <c r="BC190" s="54">
        <v>0.81799999999999995</v>
      </c>
      <c r="BD190" s="54">
        <v>8.4000000000000005E-2</v>
      </c>
      <c r="BE190" s="21">
        <f t="shared" si="257"/>
        <v>4.5807999999999995E-2</v>
      </c>
      <c r="BF190" s="55">
        <v>1.6279999999999999</v>
      </c>
      <c r="BG190" s="55">
        <v>8.5999999999999993E-2</v>
      </c>
      <c r="BH190" s="21">
        <f t="shared" si="272"/>
        <v>7.0003999999999983E-2</v>
      </c>
      <c r="BI190" s="55"/>
      <c r="BJ190" s="55"/>
      <c r="BK190" s="21">
        <f t="shared" si="259"/>
        <v>0</v>
      </c>
      <c r="BL190" s="55">
        <v>1.49</v>
      </c>
      <c r="BM190" s="55">
        <v>0.63</v>
      </c>
      <c r="BN190" s="21">
        <f t="shared" si="260"/>
        <v>0.46934999999999999</v>
      </c>
      <c r="BO190" s="55"/>
      <c r="BP190" s="55"/>
      <c r="BQ190" s="21">
        <f t="shared" si="261"/>
        <v>0</v>
      </c>
      <c r="BR190" s="55">
        <v>0.63</v>
      </c>
      <c r="BS190" s="21">
        <f t="shared" si="238"/>
        <v>15.923292333333334</v>
      </c>
      <c r="BT190" s="56">
        <v>6.51</v>
      </c>
      <c r="BU190" s="56">
        <v>2.0739999999999998</v>
      </c>
      <c r="BV190" s="21">
        <f t="shared" si="275"/>
        <v>6.750869999999999</v>
      </c>
      <c r="BW190" s="77">
        <f t="shared" si="217"/>
        <v>6.51</v>
      </c>
      <c r="BX190" s="55">
        <v>-0.13600000000000001</v>
      </c>
      <c r="BY190" s="21">
        <f t="shared" si="276"/>
        <v>-0.59023999999999999</v>
      </c>
      <c r="BZ190" s="55"/>
      <c r="CA190" s="55"/>
      <c r="CB190" s="21">
        <f t="shared" si="277"/>
        <v>0</v>
      </c>
      <c r="CC190" s="55">
        <v>2.21</v>
      </c>
      <c r="CD190" s="55">
        <v>4.8000000000000001E-2</v>
      </c>
      <c r="CE190" s="21">
        <f t="shared" si="278"/>
        <v>7.0719999999999991E-2</v>
      </c>
      <c r="CF190" s="21"/>
      <c r="CG190" s="21"/>
      <c r="CH190" s="21">
        <f t="shared" si="218"/>
        <v>0</v>
      </c>
      <c r="CI190" s="25">
        <f t="shared" si="219"/>
        <v>6.2313499999999991</v>
      </c>
      <c r="CJ190" s="54">
        <v>0.33</v>
      </c>
      <c r="CK190" s="21">
        <f t="shared" si="267"/>
        <v>1.55925</v>
      </c>
      <c r="CL190" s="55">
        <v>61</v>
      </c>
      <c r="CM190" s="55"/>
      <c r="CN190" s="60"/>
      <c r="CO190" s="55"/>
      <c r="CP190" s="55"/>
      <c r="CQ190" s="55"/>
      <c r="CR190" s="55"/>
      <c r="CS190" s="55"/>
      <c r="CT190" s="55"/>
      <c r="CU190" s="55"/>
      <c r="CV190" s="55"/>
      <c r="CW190" s="55"/>
      <c r="CX190" s="55"/>
      <c r="CY190" s="21">
        <f t="shared" si="266"/>
        <v>0</v>
      </c>
      <c r="CZ190" s="56"/>
      <c r="DA190" s="56"/>
      <c r="DB190" s="56"/>
      <c r="DC190" s="56"/>
      <c r="DD190" s="61">
        <f t="shared" si="221"/>
        <v>0</v>
      </c>
      <c r="DE190" s="21">
        <f t="shared" si="222"/>
        <v>24</v>
      </c>
      <c r="DF190" s="55"/>
      <c r="DG190" s="55"/>
      <c r="DH190" s="55"/>
      <c r="DI190" s="55">
        <v>24</v>
      </c>
      <c r="DJ190" s="104"/>
      <c r="DK190" s="53"/>
      <c r="DM190" s="58">
        <f t="shared" si="273"/>
        <v>1017.560146776985</v>
      </c>
      <c r="DN190" s="58">
        <f t="shared" si="242"/>
        <v>792.31999999999994</v>
      </c>
      <c r="DO190" s="21">
        <f t="shared" si="243"/>
        <v>0.7786468470778759</v>
      </c>
      <c r="DP190" s="62">
        <f t="shared" si="268"/>
        <v>1.0279039661211746</v>
      </c>
      <c r="DQ190" s="7" t="s">
        <v>130</v>
      </c>
      <c r="DR190" s="107">
        <f t="shared" si="274"/>
        <v>0</v>
      </c>
    </row>
    <row r="191" spans="1:137" ht="12.75" customHeight="1" x14ac:dyDescent="0.2">
      <c r="A191" s="53" t="s">
        <v>375</v>
      </c>
      <c r="B191" s="54">
        <v>2</v>
      </c>
      <c r="C191" s="92">
        <f t="shared" si="247"/>
        <v>105.24925458243396</v>
      </c>
      <c r="D191" s="92">
        <f t="shared" si="248"/>
        <v>99.826598556472334</v>
      </c>
      <c r="E191" s="92">
        <f>VLOOKUP(A191,[3]TRTOTAL!$A$7:$D$313,3,FALSE)</f>
        <v>105.24925458243396</v>
      </c>
      <c r="F191" s="92">
        <f>VLOOKUP(A191,[3]TRTOTAL!$A$7:$D$313,4,FALSE)</f>
        <v>99.826598556472334</v>
      </c>
      <c r="G191" s="92">
        <f t="shared" si="209"/>
        <v>0</v>
      </c>
      <c r="H191" s="92">
        <f t="shared" si="210"/>
        <v>0</v>
      </c>
      <c r="I191" s="54">
        <v>6.07</v>
      </c>
      <c r="J191" s="56">
        <v>5.92</v>
      </c>
      <c r="K191" s="54">
        <v>2.59</v>
      </c>
      <c r="L191" s="57">
        <v>2</v>
      </c>
      <c r="M191" s="57"/>
      <c r="N191" s="57">
        <v>206</v>
      </c>
      <c r="O191" s="87"/>
      <c r="P191" s="24">
        <f t="shared" si="228"/>
        <v>17.482542333333335</v>
      </c>
      <c r="Q191" s="24">
        <f t="shared" si="279"/>
        <v>9.338000000000001</v>
      </c>
      <c r="R191" s="24">
        <f t="shared" si="249"/>
        <v>5.2729208333333331</v>
      </c>
      <c r="S191" s="87">
        <v>9.4499999999999993</v>
      </c>
      <c r="T191" s="21">
        <f t="shared" si="230"/>
        <v>6.0018999999999991</v>
      </c>
      <c r="U191" s="21"/>
      <c r="V191" s="24">
        <f t="shared" si="250"/>
        <v>2.3580000000000001</v>
      </c>
      <c r="W191" s="24">
        <f t="shared" si="232"/>
        <v>2.5230000000000001</v>
      </c>
      <c r="X191" s="24">
        <f t="shared" si="233"/>
        <v>2.7464398219430519</v>
      </c>
      <c r="Y191" s="25">
        <f t="shared" si="223"/>
        <v>1</v>
      </c>
      <c r="Z191" s="24">
        <f t="shared" si="211"/>
        <v>15.8602641993727</v>
      </c>
      <c r="AA191" s="21">
        <f t="shared" si="234"/>
        <v>1.6006559458850969</v>
      </c>
      <c r="AB191" s="24">
        <f t="shared" si="212"/>
        <v>4.3719294495233632</v>
      </c>
      <c r="AC191" s="24">
        <f t="shared" si="225"/>
        <v>23.413842820458029</v>
      </c>
      <c r="AD191" s="58">
        <f t="shared" si="235"/>
        <v>350</v>
      </c>
      <c r="AE191" s="58">
        <f t="shared" si="236"/>
        <v>356</v>
      </c>
      <c r="AF191" s="21">
        <f t="shared" si="213"/>
        <v>3.75</v>
      </c>
      <c r="AG191" s="77">
        <f t="shared" si="214"/>
        <v>0</v>
      </c>
      <c r="AH191" s="114">
        <f t="shared" si="224"/>
        <v>1</v>
      </c>
      <c r="AI191" s="59">
        <f t="shared" si="215"/>
        <v>102.80413252329107</v>
      </c>
      <c r="AJ191" s="59">
        <f t="shared" si="216"/>
        <v>97.507454167393021</v>
      </c>
      <c r="AK191" s="55">
        <v>8.9239999999999995</v>
      </c>
      <c r="AL191" s="55">
        <v>2.3580000000000001</v>
      </c>
      <c r="AM191" s="21">
        <f t="shared" si="237"/>
        <v>10.521395999999999</v>
      </c>
      <c r="AN191" s="54">
        <v>8.7080000000000002</v>
      </c>
      <c r="AO191" s="55">
        <v>0.114</v>
      </c>
      <c r="AP191" s="21">
        <f t="shared" si="252"/>
        <v>0.66180800000000006</v>
      </c>
      <c r="AQ191" s="55"/>
      <c r="AR191" s="55"/>
      <c r="AS191" s="21">
        <f t="shared" si="253"/>
        <v>0</v>
      </c>
      <c r="AT191" s="54">
        <v>8.9239999999999995</v>
      </c>
      <c r="AU191" s="54">
        <v>0.746</v>
      </c>
      <c r="AV191" s="21">
        <f t="shared" si="269"/>
        <v>3.3286519999999999</v>
      </c>
      <c r="AW191" s="54">
        <v>2.762</v>
      </c>
      <c r="AX191" s="54">
        <v>0.18099999999999999</v>
      </c>
      <c r="AY191" s="21">
        <f t="shared" si="270"/>
        <v>0.24996099999999999</v>
      </c>
      <c r="AZ191" s="54">
        <v>6.31</v>
      </c>
      <c r="BA191" s="54">
        <v>0.13700000000000001</v>
      </c>
      <c r="BB191" s="21">
        <f t="shared" si="271"/>
        <v>0.57631333333333334</v>
      </c>
      <c r="BC191" s="54">
        <v>0.81799999999999995</v>
      </c>
      <c r="BD191" s="54">
        <v>8.4000000000000005E-2</v>
      </c>
      <c r="BE191" s="21">
        <f t="shared" si="257"/>
        <v>4.5807999999999995E-2</v>
      </c>
      <c r="BF191" s="55">
        <v>1.6279999999999999</v>
      </c>
      <c r="BG191" s="55">
        <v>8.5999999999999993E-2</v>
      </c>
      <c r="BH191" s="21">
        <f t="shared" si="272"/>
        <v>7.0003999999999983E-2</v>
      </c>
      <c r="BI191" s="55"/>
      <c r="BJ191" s="55"/>
      <c r="BK191" s="21">
        <f t="shared" si="259"/>
        <v>0</v>
      </c>
      <c r="BL191" s="55">
        <v>1.49</v>
      </c>
      <c r="BM191" s="55">
        <v>0.63</v>
      </c>
      <c r="BN191" s="21">
        <f t="shared" si="260"/>
        <v>0.46934999999999999</v>
      </c>
      <c r="BO191" s="55"/>
      <c r="BP191" s="55"/>
      <c r="BQ191" s="21">
        <f t="shared" si="261"/>
        <v>0</v>
      </c>
      <c r="BR191" s="55">
        <v>0.63</v>
      </c>
      <c r="BS191" s="21">
        <f t="shared" si="238"/>
        <v>15.923292333333334</v>
      </c>
      <c r="BT191" s="56">
        <v>6.3849999999999998</v>
      </c>
      <c r="BU191" s="56">
        <v>1.8149999999999999</v>
      </c>
      <c r="BV191" s="21">
        <f t="shared" si="275"/>
        <v>5.7943875</v>
      </c>
      <c r="BW191" s="77">
        <f t="shared" si="217"/>
        <v>6.3849999999999998</v>
      </c>
      <c r="BX191" s="55"/>
      <c r="BY191" s="21">
        <f t="shared" si="276"/>
        <v>0</v>
      </c>
      <c r="BZ191" s="55">
        <v>5.6349999999999998</v>
      </c>
      <c r="CA191" s="55">
        <v>-0.16</v>
      </c>
      <c r="CB191" s="21">
        <f t="shared" si="277"/>
        <v>-0.60106666666666664</v>
      </c>
      <c r="CC191" s="54">
        <v>1.99</v>
      </c>
      <c r="CD191" s="54">
        <v>0.06</v>
      </c>
      <c r="CE191" s="21">
        <f t="shared" si="278"/>
        <v>7.959999999999999E-2</v>
      </c>
      <c r="CF191" s="21"/>
      <c r="CG191" s="21"/>
      <c r="CH191" s="21">
        <f t="shared" si="218"/>
        <v>0</v>
      </c>
      <c r="CI191" s="25">
        <f t="shared" si="219"/>
        <v>5.2729208333333331</v>
      </c>
      <c r="CJ191" s="54">
        <v>0.33</v>
      </c>
      <c r="CK191" s="21">
        <f t="shared" si="267"/>
        <v>1.55925</v>
      </c>
      <c r="CL191" s="55" t="s">
        <v>376</v>
      </c>
      <c r="CM191" s="55"/>
      <c r="CN191" s="60"/>
      <c r="CO191" s="55"/>
      <c r="CP191" s="55"/>
      <c r="CQ191" s="55"/>
      <c r="CR191" s="55"/>
      <c r="CS191" s="55"/>
      <c r="CT191" s="55"/>
      <c r="CU191" s="55"/>
      <c r="CV191" s="55"/>
      <c r="CW191" s="55"/>
      <c r="CX191" s="55"/>
      <c r="CY191" s="21">
        <f t="shared" si="266"/>
        <v>0</v>
      </c>
      <c r="CZ191" s="56"/>
      <c r="DA191" s="56"/>
      <c r="DB191" s="56"/>
      <c r="DC191" s="56"/>
      <c r="DD191" s="61">
        <f t="shared" si="221"/>
        <v>0</v>
      </c>
      <c r="DE191" s="21">
        <f t="shared" si="222"/>
        <v>25</v>
      </c>
      <c r="DF191" s="55"/>
      <c r="DG191" s="55"/>
      <c r="DH191" s="55"/>
      <c r="DI191" s="55">
        <v>25</v>
      </c>
      <c r="DJ191" s="104"/>
      <c r="DK191" s="53"/>
      <c r="DM191" s="58">
        <f t="shared" si="273"/>
        <v>987.49484253849585</v>
      </c>
      <c r="DN191" s="58">
        <f t="shared" si="242"/>
        <v>797.5</v>
      </c>
      <c r="DO191" s="21">
        <f t="shared" si="243"/>
        <v>0.80759915459397524</v>
      </c>
      <c r="DP191" s="62">
        <f t="shared" si="268"/>
        <v>1.0237842779188757</v>
      </c>
      <c r="DQ191" s="7" t="s">
        <v>130</v>
      </c>
      <c r="DR191" s="107">
        <f t="shared" si="274"/>
        <v>0</v>
      </c>
    </row>
    <row r="192" spans="1:137" ht="12.75" customHeight="1" x14ac:dyDescent="0.2">
      <c r="A192" s="53" t="s">
        <v>377</v>
      </c>
      <c r="B192" s="54">
        <v>2</v>
      </c>
      <c r="C192" s="92">
        <f t="shared" si="247"/>
        <v>99.111917935714587</v>
      </c>
      <c r="D192" s="92">
        <f t="shared" si="248"/>
        <v>95.365407986998335</v>
      </c>
      <c r="E192" s="92">
        <f>VLOOKUP(A192,[3]TRTOTAL!$A$7:$D$313,3,FALSE)</f>
        <v>99.111917935714587</v>
      </c>
      <c r="F192" s="92">
        <f>VLOOKUP(A192,[3]TRTOTAL!$A$7:$D$313,4,FALSE)</f>
        <v>95.365407986998335</v>
      </c>
      <c r="G192" s="92">
        <f t="shared" si="209"/>
        <v>0</v>
      </c>
      <c r="H192" s="92">
        <f t="shared" si="210"/>
        <v>0</v>
      </c>
      <c r="I192" s="54">
        <v>6.07</v>
      </c>
      <c r="J192" s="56">
        <v>5.92</v>
      </c>
      <c r="K192" s="54">
        <v>3.05</v>
      </c>
      <c r="L192" s="57">
        <v>2</v>
      </c>
      <c r="M192" s="57">
        <v>205</v>
      </c>
      <c r="N192" s="57"/>
      <c r="O192" s="87"/>
      <c r="P192" s="24">
        <f t="shared" ref="P192:P224" si="280">marea+areaMast+mssam+mareNoDet</f>
        <v>19.466941666666667</v>
      </c>
      <c r="Q192" s="24">
        <f t="shared" si="279"/>
        <v>9.23</v>
      </c>
      <c r="R192" s="24">
        <f t="shared" ref="R192:R220" si="281">CI192</f>
        <v>5.6415766666666656</v>
      </c>
      <c r="S192" s="87">
        <v>9.4499999999999993</v>
      </c>
      <c r="T192" s="21">
        <f t="shared" ref="T192:T220" si="282">IF(gs_1,gs_1*0.94,VlgNoDetails)</f>
        <v>6.7397999999999998</v>
      </c>
      <c r="U192" s="21"/>
      <c r="V192" s="24">
        <f t="shared" ref="V192:V220" si="283">IF(e_sp,e_sp,(IF(mfoot,MAX(CU192:CX192),IF(mainh1,mainh1,vlm*0.3))))</f>
        <v>2.2999999999999998</v>
      </c>
      <c r="W192" s="24">
        <f t="shared" ref="W192:W220" si="284">IF(circMast,circMast/2,0.16)+V192</f>
        <v>2.4524999999999997</v>
      </c>
      <c r="X192" s="24">
        <f t="shared" ref="X192:X220" si="285">msam/e^2</f>
        <v>3.2365304357373867</v>
      </c>
      <c r="Y192" s="25">
        <f t="shared" si="223"/>
        <v>1</v>
      </c>
      <c r="Z192" s="24">
        <f t="shared" si="211"/>
        <v>18.552243628085503</v>
      </c>
      <c r="AA192" s="21">
        <f t="shared" ref="AA192:AA220" si="286">IF(lpg,msag/lpg^2,0)</f>
        <v>1.9846565135061984</v>
      </c>
      <c r="AB192" s="24">
        <f t="shared" si="212"/>
        <v>4.9892882670239365</v>
      </c>
      <c r="AC192" s="24">
        <f t="shared" si="225"/>
        <v>26.277636920396329</v>
      </c>
      <c r="AD192" s="58">
        <f t="shared" ref="AD192:AD220" si="287">IF(wsex,wsex,wsin-6)+crew*(IF(AND(crew=1,msam+msag&gt;=11),75,IF(loa&lt;=4,65,IF(loa&lt;=4.8,70,75))))</f>
        <v>355</v>
      </c>
      <c r="AE192" s="58">
        <f t="shared" ref="AE192:AE220" si="288">IF(wsin,wsin,wsex+6)+crew*(IF(AND(crew=1,msam+msag&gt;=11),75,IF(loa&lt;=4,65,IF(loa&lt;=4.8,70,75))))</f>
        <v>361</v>
      </c>
      <c r="AF192" s="21">
        <f t="shared" si="213"/>
        <v>3.3847125</v>
      </c>
      <c r="AG192" s="77">
        <f t="shared" si="214"/>
        <v>0</v>
      </c>
      <c r="AH192" s="114">
        <f t="shared" si="224"/>
        <v>1</v>
      </c>
      <c r="AI192" s="59">
        <f t="shared" si="215"/>
        <v>97.206649549993372</v>
      </c>
      <c r="AJ192" s="59">
        <f t="shared" si="216"/>
        <v>93.532160273571137</v>
      </c>
      <c r="AK192" s="55">
        <v>9.23</v>
      </c>
      <c r="AL192" s="55">
        <v>2.2999999999999998</v>
      </c>
      <c r="AM192" s="21">
        <f t="shared" ref="AM192:AM220" si="289">AK192*AL192*0.5</f>
        <v>10.6145</v>
      </c>
      <c r="AN192" s="54">
        <v>9.23</v>
      </c>
      <c r="AO192" s="55">
        <v>0.17</v>
      </c>
      <c r="AP192" s="21">
        <f t="shared" si="252"/>
        <v>1.0460666666666667</v>
      </c>
      <c r="AQ192" s="55">
        <v>6.35</v>
      </c>
      <c r="AR192" s="55">
        <v>0.15</v>
      </c>
      <c r="AS192" s="21">
        <f t="shared" si="253"/>
        <v>0.6349999999999999</v>
      </c>
      <c r="AT192" s="54">
        <v>9.1999999999999993</v>
      </c>
      <c r="AU192" s="54">
        <v>1.07</v>
      </c>
      <c r="AV192" s="21">
        <f t="shared" si="269"/>
        <v>4.9219999999999997</v>
      </c>
      <c r="AW192" s="54">
        <v>3.125</v>
      </c>
      <c r="AX192" s="54">
        <v>0.41</v>
      </c>
      <c r="AY192" s="21">
        <f t="shared" si="270"/>
        <v>0.640625</v>
      </c>
      <c r="AZ192" s="54"/>
      <c r="BA192" s="54"/>
      <c r="BB192" s="21">
        <f t="shared" si="271"/>
        <v>0</v>
      </c>
      <c r="BC192" s="54"/>
      <c r="BD192" s="54"/>
      <c r="BE192" s="21">
        <f t="shared" si="257"/>
        <v>0</v>
      </c>
      <c r="BF192" s="55">
        <v>1.62</v>
      </c>
      <c r="BG192" s="55">
        <v>0.18</v>
      </c>
      <c r="BH192" s="21">
        <f t="shared" si="272"/>
        <v>0.14580000000000001</v>
      </c>
      <c r="BI192" s="55"/>
      <c r="BJ192" s="55"/>
      <c r="BK192" s="21">
        <f t="shared" si="259"/>
        <v>0</v>
      </c>
      <c r="BL192" s="55">
        <v>0.97</v>
      </c>
      <c r="BM192" s="55">
        <v>4.4999999999999998E-2</v>
      </c>
      <c r="BN192" s="21">
        <f t="shared" si="260"/>
        <v>2.1824999999999997E-2</v>
      </c>
      <c r="BO192" s="55"/>
      <c r="BP192" s="55"/>
      <c r="BQ192" s="21">
        <f t="shared" si="261"/>
        <v>0</v>
      </c>
      <c r="BR192" s="55"/>
      <c r="BS192" s="21">
        <f t="shared" si="238"/>
        <v>18.025816666666667</v>
      </c>
      <c r="BT192" s="56">
        <v>7.17</v>
      </c>
      <c r="BU192" s="56">
        <v>1.6859999999999999</v>
      </c>
      <c r="BV192" s="21">
        <f t="shared" si="275"/>
        <v>6.0443099999999994</v>
      </c>
      <c r="BW192" s="77">
        <f t="shared" si="217"/>
        <v>7.17</v>
      </c>
      <c r="BX192" s="55">
        <v>-0.06</v>
      </c>
      <c r="BY192" s="21">
        <f t="shared" si="276"/>
        <v>-0.2868</v>
      </c>
      <c r="BZ192" s="55">
        <v>6.44</v>
      </c>
      <c r="CA192" s="55">
        <v>-0.04</v>
      </c>
      <c r="CB192" s="21">
        <f t="shared" si="277"/>
        <v>-0.17173333333333332</v>
      </c>
      <c r="CC192" s="55">
        <v>1.86</v>
      </c>
      <c r="CD192" s="55">
        <v>4.4999999999999998E-2</v>
      </c>
      <c r="CE192" s="21">
        <f t="shared" si="278"/>
        <v>5.5799999999999995E-2</v>
      </c>
      <c r="CF192" s="21"/>
      <c r="CG192" s="21"/>
      <c r="CH192" s="21">
        <f t="shared" si="218"/>
        <v>0</v>
      </c>
      <c r="CI192" s="25">
        <f t="shared" si="219"/>
        <v>5.6415766666666656</v>
      </c>
      <c r="CJ192" s="54">
        <v>0.30499999999999999</v>
      </c>
      <c r="CK192" s="21">
        <f t="shared" si="267"/>
        <v>1.4411249999999998</v>
      </c>
      <c r="CL192" s="55">
        <v>281</v>
      </c>
      <c r="CM192" s="55"/>
      <c r="CN192" s="60"/>
      <c r="CO192" s="55" t="s">
        <v>162</v>
      </c>
      <c r="CP192" s="55"/>
      <c r="CQ192" s="55"/>
      <c r="CR192" s="55"/>
      <c r="CS192" s="55"/>
      <c r="CT192" s="55"/>
      <c r="CU192" s="55"/>
      <c r="CV192" s="55"/>
      <c r="CW192" s="55"/>
      <c r="CX192" s="55"/>
      <c r="CY192" s="21">
        <f t="shared" si="266"/>
        <v>0</v>
      </c>
      <c r="CZ192" s="56">
        <v>4.1500000000000004</v>
      </c>
      <c r="DA192" s="56">
        <v>7.39</v>
      </c>
      <c r="DB192" s="56">
        <v>8.51</v>
      </c>
      <c r="DC192" s="56">
        <v>3.22</v>
      </c>
      <c r="DD192" s="61">
        <f t="shared" si="221"/>
        <v>0.77590361445783129</v>
      </c>
      <c r="DE192" s="21">
        <f t="shared" si="222"/>
        <v>22.56475</v>
      </c>
      <c r="DF192" s="55"/>
      <c r="DG192" s="55"/>
      <c r="DH192" s="55"/>
      <c r="DI192" s="55"/>
      <c r="DJ192" s="104"/>
      <c r="DK192" s="53"/>
      <c r="DM192" s="58">
        <f t="shared" si="273"/>
        <v>1097.6966505075559</v>
      </c>
      <c r="DN192" s="58">
        <f t="shared" ref="DN192:DN220" si="290">IF(wsex,0.5*wsex*width+(rwex-wsex)*width+trapeze*(rwex-wsex)/crew,0.5*(wsin-6)*width+(rwin-wsin)*width+trapeze*(rwin-wsin)/crew)</f>
        <v>920.125</v>
      </c>
      <c r="DO192" s="21">
        <f t="shared" ref="DO192:DO220" si="291">righting/heeling</f>
        <v>0.83823249307953174</v>
      </c>
      <c r="DP192" s="62">
        <f t="shared" si="268"/>
        <v>1.0196001857336039</v>
      </c>
      <c r="DQ192" s="7" t="s">
        <v>130</v>
      </c>
      <c r="DR192" s="107">
        <f t="shared" si="274"/>
        <v>0</v>
      </c>
    </row>
    <row r="193" spans="1:137" ht="12.75" customHeight="1" x14ac:dyDescent="0.2">
      <c r="A193" s="53" t="s">
        <v>378</v>
      </c>
      <c r="B193" s="54">
        <v>2</v>
      </c>
      <c r="C193" s="92">
        <f t="shared" si="247"/>
        <v>120.537493731453</v>
      </c>
      <c r="D193" s="92">
        <f t="shared" si="248"/>
        <v>115.49186627827065</v>
      </c>
      <c r="E193" s="92">
        <f>VLOOKUP(A193,[3]TRTOTAL!$A$7:$D$313,3,FALSE)</f>
        <v>120.537493731453</v>
      </c>
      <c r="F193" s="92">
        <f>VLOOKUP(A193,[3]TRTOTAL!$A$7:$D$313,4,FALSE)</f>
        <v>115.49186627827065</v>
      </c>
      <c r="G193" s="92">
        <f t="shared" si="209"/>
        <v>0</v>
      </c>
      <c r="H193" s="92">
        <f t="shared" si="210"/>
        <v>0</v>
      </c>
      <c r="I193" s="54">
        <v>4.82</v>
      </c>
      <c r="J193" s="56">
        <v>4.82</v>
      </c>
      <c r="K193" s="54">
        <v>2.4500000000000002</v>
      </c>
      <c r="L193" s="57">
        <v>2</v>
      </c>
      <c r="M193" s="57"/>
      <c r="N193" s="57">
        <v>150</v>
      </c>
      <c r="O193" s="87" t="s">
        <v>133</v>
      </c>
      <c r="P193" s="24">
        <f t="shared" si="280"/>
        <v>13.7</v>
      </c>
      <c r="Q193" s="24">
        <f t="shared" si="279"/>
        <v>7.0449999999999999</v>
      </c>
      <c r="R193" s="24">
        <f t="shared" si="281"/>
        <v>3.1</v>
      </c>
      <c r="S193" s="87">
        <v>7.77</v>
      </c>
      <c r="T193" s="21">
        <f t="shared" si="282"/>
        <v>4.7751999999999999</v>
      </c>
      <c r="U193" s="21"/>
      <c r="V193" s="24">
        <f t="shared" si="283"/>
        <v>2.085</v>
      </c>
      <c r="W193" s="24">
        <f t="shared" si="284"/>
        <v>2.2450000000000001</v>
      </c>
      <c r="X193" s="24">
        <f t="shared" si="285"/>
        <v>2.7182404849182289</v>
      </c>
      <c r="Y193" s="25">
        <f t="shared" si="223"/>
        <v>1</v>
      </c>
      <c r="Z193" s="24">
        <f t="shared" si="211"/>
        <v>12.390297459340342</v>
      </c>
      <c r="AA193" s="21">
        <f t="shared" si="286"/>
        <v>0</v>
      </c>
      <c r="AB193" s="24">
        <f t="shared" si="212"/>
        <v>2.79</v>
      </c>
      <c r="AC193" s="24">
        <f t="shared" si="225"/>
        <v>17.172597459340341</v>
      </c>
      <c r="AD193" s="58">
        <f t="shared" si="287"/>
        <v>294</v>
      </c>
      <c r="AE193" s="58">
        <f t="shared" si="288"/>
        <v>300</v>
      </c>
      <c r="AF193" s="21">
        <f t="shared" si="213"/>
        <v>2.355</v>
      </c>
      <c r="AG193" s="77">
        <f t="shared" si="214"/>
        <v>0</v>
      </c>
      <c r="AH193" s="114">
        <f t="shared" si="224"/>
        <v>1.04</v>
      </c>
      <c r="AI193" s="59">
        <f t="shared" si="215"/>
        <v>120.537493731453</v>
      </c>
      <c r="AJ193" s="59">
        <f t="shared" si="216"/>
        <v>115.49186627827065</v>
      </c>
      <c r="AK193" s="55"/>
      <c r="AL193" s="55">
        <v>2.085</v>
      </c>
      <c r="AM193" s="21">
        <f t="shared" si="289"/>
        <v>0</v>
      </c>
      <c r="AN193" s="54">
        <v>7.0449999999999999</v>
      </c>
      <c r="AO193" s="55"/>
      <c r="AP193" s="21">
        <f t="shared" si="252"/>
        <v>0</v>
      </c>
      <c r="AQ193" s="55"/>
      <c r="AR193" s="55"/>
      <c r="AS193" s="21">
        <f t="shared" si="253"/>
        <v>0</v>
      </c>
      <c r="AT193" s="54"/>
      <c r="AU193" s="54"/>
      <c r="AV193" s="21">
        <f t="shared" si="269"/>
        <v>0</v>
      </c>
      <c r="AW193" s="54"/>
      <c r="AX193" s="54"/>
      <c r="AY193" s="21">
        <f t="shared" si="270"/>
        <v>0</v>
      </c>
      <c r="AZ193" s="54"/>
      <c r="BA193" s="54"/>
      <c r="BB193" s="21">
        <f t="shared" si="271"/>
        <v>0</v>
      </c>
      <c r="BC193" s="54"/>
      <c r="BD193" s="54"/>
      <c r="BE193" s="21">
        <f t="shared" si="257"/>
        <v>0</v>
      </c>
      <c r="BF193" s="55"/>
      <c r="BG193" s="55"/>
      <c r="BH193" s="21">
        <f t="shared" si="272"/>
        <v>0</v>
      </c>
      <c r="BI193" s="55"/>
      <c r="BJ193" s="55"/>
      <c r="BK193" s="21">
        <f t="shared" si="259"/>
        <v>0</v>
      </c>
      <c r="BL193" s="55"/>
      <c r="BM193" s="55"/>
      <c r="BN193" s="21">
        <f t="shared" si="260"/>
        <v>0</v>
      </c>
      <c r="BO193" s="55"/>
      <c r="BP193" s="55"/>
      <c r="BQ193" s="21">
        <f t="shared" si="261"/>
        <v>0</v>
      </c>
      <c r="BR193" s="55"/>
      <c r="BS193" s="21">
        <f t="shared" si="238"/>
        <v>0</v>
      </c>
      <c r="BT193" s="56">
        <v>5.08</v>
      </c>
      <c r="BU193" s="56"/>
      <c r="BV193" s="21">
        <f t="shared" si="275"/>
        <v>0</v>
      </c>
      <c r="BW193" s="77">
        <f t="shared" si="217"/>
        <v>5.08</v>
      </c>
      <c r="BX193" s="55"/>
      <c r="BY193" s="21">
        <f t="shared" si="276"/>
        <v>0</v>
      </c>
      <c r="BZ193" s="55"/>
      <c r="CA193" s="55"/>
      <c r="CB193" s="21">
        <f t="shared" si="277"/>
        <v>0</v>
      </c>
      <c r="CC193" s="54"/>
      <c r="CD193" s="54"/>
      <c r="CE193" s="21">
        <f t="shared" si="278"/>
        <v>0</v>
      </c>
      <c r="CF193" s="21"/>
      <c r="CG193" s="21"/>
      <c r="CH193" s="21">
        <f t="shared" si="218"/>
        <v>0</v>
      </c>
      <c r="CI193" s="25">
        <f t="shared" si="219"/>
        <v>3.1</v>
      </c>
      <c r="CJ193" s="54"/>
      <c r="CK193" s="21">
        <f t="shared" si="267"/>
        <v>0</v>
      </c>
      <c r="CL193" s="55"/>
      <c r="CM193" s="55" t="s">
        <v>379</v>
      </c>
      <c r="CN193" s="60">
        <v>37001</v>
      </c>
      <c r="CO193" s="55"/>
      <c r="CP193" s="55"/>
      <c r="CQ193" s="55"/>
      <c r="CR193" s="55"/>
      <c r="CS193" s="55"/>
      <c r="CT193" s="55"/>
      <c r="CU193" s="55"/>
      <c r="CV193" s="55"/>
      <c r="CW193" s="55"/>
      <c r="CX193" s="55"/>
      <c r="CY193" s="21">
        <f t="shared" si="266"/>
        <v>0</v>
      </c>
      <c r="CZ193" s="56"/>
      <c r="DA193" s="56"/>
      <c r="DB193" s="56"/>
      <c r="DC193" s="56"/>
      <c r="DD193" s="61">
        <f t="shared" si="221"/>
        <v>0</v>
      </c>
      <c r="DE193" s="21">
        <f t="shared" si="222"/>
        <v>15.7</v>
      </c>
      <c r="DF193" s="55">
        <v>13.7</v>
      </c>
      <c r="DG193" s="55">
        <v>3.1</v>
      </c>
      <c r="DH193" s="55">
        <v>4.87</v>
      </c>
      <c r="DI193" s="55">
        <v>15.7</v>
      </c>
      <c r="DJ193" s="104"/>
      <c r="DK193" s="53"/>
      <c r="DM193" s="58">
        <f t="shared" si="273"/>
        <v>603.78198493132777</v>
      </c>
      <c r="DN193" s="58">
        <f t="shared" si="290"/>
        <v>693.9</v>
      </c>
      <c r="DO193" s="21">
        <f t="shared" si="291"/>
        <v>1.1492558859286301</v>
      </c>
      <c r="DP193" s="62">
        <f t="shared" si="268"/>
        <v>1</v>
      </c>
      <c r="DQ193" s="7" t="s">
        <v>130</v>
      </c>
      <c r="DR193" s="107">
        <f t="shared" si="274"/>
        <v>0</v>
      </c>
    </row>
    <row r="194" spans="1:137" ht="12.75" customHeight="1" x14ac:dyDescent="0.2">
      <c r="A194" s="53" t="s">
        <v>504</v>
      </c>
      <c r="B194" s="54">
        <v>1</v>
      </c>
      <c r="C194" s="92">
        <f t="shared" si="247"/>
        <v>113.96899761562008</v>
      </c>
      <c r="D194" s="92">
        <f t="shared" si="248"/>
        <v>110.49771275341368</v>
      </c>
      <c r="E194" s="92">
        <f>VLOOKUP(A194,[3]TRTOTAL!$A$7:$D$313,3,FALSE)</f>
        <v>113.96899761562008</v>
      </c>
      <c r="F194" s="92">
        <f>VLOOKUP(A194,[3]TRTOTAL!$A$7:$D$313,4,FALSE)</f>
        <v>110.49771275341368</v>
      </c>
      <c r="G194" s="92">
        <f t="shared" si="209"/>
        <v>0</v>
      </c>
      <c r="H194" s="92">
        <f t="shared" si="210"/>
        <v>0</v>
      </c>
      <c r="I194" s="54">
        <v>4.82</v>
      </c>
      <c r="J194" s="56">
        <v>4.82</v>
      </c>
      <c r="K194" s="54">
        <v>2.4500000000000002</v>
      </c>
      <c r="L194" s="57">
        <v>1</v>
      </c>
      <c r="M194" s="57">
        <v>149.80000000000001</v>
      </c>
      <c r="N194" s="57"/>
      <c r="O194" s="87" t="s">
        <v>133</v>
      </c>
      <c r="P194" s="24">
        <f t="shared" si="280"/>
        <v>13.7</v>
      </c>
      <c r="Q194" s="24">
        <f t="shared" si="279"/>
        <v>7.0449999999999999</v>
      </c>
      <c r="R194" s="24">
        <f t="shared" si="281"/>
        <v>3.27</v>
      </c>
      <c r="S194" s="87">
        <v>7.77</v>
      </c>
      <c r="T194" s="21">
        <f t="shared" si="282"/>
        <v>4.87</v>
      </c>
      <c r="U194" s="21"/>
      <c r="V194" s="24">
        <f t="shared" si="283"/>
        <v>2.085</v>
      </c>
      <c r="W194" s="24">
        <f t="shared" si="284"/>
        <v>2.2450000000000001</v>
      </c>
      <c r="X194" s="24">
        <f t="shared" si="285"/>
        <v>2.7182404849182289</v>
      </c>
      <c r="Y194" s="25">
        <f t="shared" si="223"/>
        <v>1</v>
      </c>
      <c r="Z194" s="24">
        <f t="shared" si="211"/>
        <v>12.390297459340342</v>
      </c>
      <c r="AA194" s="21">
        <f t="shared" si="286"/>
        <v>0</v>
      </c>
      <c r="AB194" s="24">
        <f t="shared" si="212"/>
        <v>2.9430000000000001</v>
      </c>
      <c r="AC194" s="24">
        <f t="shared" si="225"/>
        <v>17.350707459340342</v>
      </c>
      <c r="AD194" s="58">
        <f t="shared" si="287"/>
        <v>224.8</v>
      </c>
      <c r="AE194" s="58">
        <f t="shared" si="288"/>
        <v>230.8</v>
      </c>
      <c r="AF194" s="21">
        <f t="shared" si="213"/>
        <v>2.4</v>
      </c>
      <c r="AG194" s="77">
        <f t="shared" si="214"/>
        <v>0</v>
      </c>
      <c r="AH194" s="114">
        <f t="shared" si="224"/>
        <v>1.04</v>
      </c>
      <c r="AI194" s="59">
        <f t="shared" si="215"/>
        <v>110.02742846808484</v>
      </c>
      <c r="AJ194" s="59">
        <f t="shared" si="216"/>
        <v>105.61999654604521</v>
      </c>
      <c r="AK194" s="55"/>
      <c r="AL194" s="55">
        <v>2.085</v>
      </c>
      <c r="AM194" s="21">
        <f t="shared" si="289"/>
        <v>0</v>
      </c>
      <c r="AN194" s="54">
        <v>7.0449999999999999</v>
      </c>
      <c r="AO194" s="55"/>
      <c r="AP194" s="21"/>
      <c r="AQ194" s="55"/>
      <c r="AR194" s="55"/>
      <c r="AS194" s="21"/>
      <c r="AT194" s="54"/>
      <c r="AU194" s="54"/>
      <c r="AV194" s="21"/>
      <c r="AW194" s="54"/>
      <c r="AX194" s="54"/>
      <c r="AY194" s="21"/>
      <c r="AZ194" s="54"/>
      <c r="BA194" s="54"/>
      <c r="BB194" s="21"/>
      <c r="BC194" s="54"/>
      <c r="BD194" s="54"/>
      <c r="BE194" s="21"/>
      <c r="BF194" s="55"/>
      <c r="BG194" s="55"/>
      <c r="BH194" s="21"/>
      <c r="BI194" s="55"/>
      <c r="BJ194" s="55"/>
      <c r="BK194" s="21"/>
      <c r="BL194" s="55"/>
      <c r="BM194" s="55"/>
      <c r="BN194" s="21"/>
      <c r="BO194" s="55"/>
      <c r="BP194" s="55"/>
      <c r="BQ194" s="21"/>
      <c r="BR194" s="55"/>
      <c r="BS194" s="21"/>
      <c r="BT194" s="56"/>
      <c r="BU194" s="56"/>
      <c r="BV194" s="21"/>
      <c r="BW194" s="77">
        <f t="shared" si="217"/>
        <v>0</v>
      </c>
      <c r="BX194" s="55"/>
      <c r="BY194" s="21"/>
      <c r="BZ194" s="55"/>
      <c r="CA194" s="55"/>
      <c r="CB194" s="21"/>
      <c r="CC194" s="55"/>
      <c r="CD194" s="55"/>
      <c r="CE194" s="21"/>
      <c r="CF194" s="21"/>
      <c r="CG194" s="21"/>
      <c r="CH194" s="21">
        <f t="shared" si="218"/>
        <v>0</v>
      </c>
      <c r="CI194" s="25">
        <f t="shared" si="219"/>
        <v>3.27</v>
      </c>
      <c r="CJ194" s="54"/>
      <c r="CK194" s="21"/>
      <c r="CL194" s="55"/>
      <c r="CM194" s="55" t="s">
        <v>379</v>
      </c>
      <c r="CN194" s="60">
        <v>37001</v>
      </c>
      <c r="CO194" s="55" t="s">
        <v>236</v>
      </c>
      <c r="CP194" s="55"/>
      <c r="CQ194" s="55"/>
      <c r="CR194" s="55"/>
      <c r="CS194" s="55"/>
      <c r="CT194" s="55"/>
      <c r="CU194" s="55"/>
      <c r="CV194" s="55"/>
      <c r="CW194" s="55"/>
      <c r="CX194" s="55"/>
      <c r="CY194" s="21">
        <f t="shared" si="266"/>
        <v>0</v>
      </c>
      <c r="CZ194" s="56"/>
      <c r="DA194" s="56"/>
      <c r="DB194" s="56"/>
      <c r="DC194" s="56"/>
      <c r="DD194" s="61">
        <f t="shared" si="221"/>
        <v>0</v>
      </c>
      <c r="DE194" s="21">
        <f t="shared" si="222"/>
        <v>16</v>
      </c>
      <c r="DF194" s="55">
        <v>13.7</v>
      </c>
      <c r="DG194" s="55">
        <v>3.27</v>
      </c>
      <c r="DH194" s="55">
        <v>4.87</v>
      </c>
      <c r="DI194" s="55">
        <v>16</v>
      </c>
      <c r="DJ194" s="104"/>
      <c r="DK194" s="53"/>
      <c r="DM194" s="58">
        <f t="shared" si="273"/>
        <v>609.02379060095984</v>
      </c>
      <c r="DN194" s="58">
        <f t="shared" si="290"/>
        <v>442.255</v>
      </c>
      <c r="DO194" s="21">
        <f t="shared" si="291"/>
        <v>0.72617031850857716</v>
      </c>
      <c r="DP194" s="62">
        <f t="shared" si="268"/>
        <v>1.0358235142128998</v>
      </c>
      <c r="DQ194" s="7">
        <v>0</v>
      </c>
      <c r="DR194" s="107">
        <f t="shared" si="274"/>
        <v>0</v>
      </c>
    </row>
    <row r="195" spans="1:137" ht="12.75" customHeight="1" x14ac:dyDescent="0.2">
      <c r="A195" s="53" t="s">
        <v>503</v>
      </c>
      <c r="B195" s="54">
        <v>1</v>
      </c>
      <c r="C195" s="92">
        <f t="shared" si="247"/>
        <v>121.74099121668594</v>
      </c>
      <c r="D195" s="92">
        <f t="shared" si="248"/>
        <v>115.68940666441567</v>
      </c>
      <c r="E195" s="92">
        <f>VLOOKUP(A195,[3]TRTOTAL!$A$7:$D$313,3,FALSE)</f>
        <v>121.74099121668594</v>
      </c>
      <c r="F195" s="92">
        <f>VLOOKUP(A195,[3]TRTOTAL!$A$7:$D$313,4,FALSE)</f>
        <v>115.68940666441567</v>
      </c>
      <c r="G195" s="92">
        <f t="shared" si="209"/>
        <v>0</v>
      </c>
      <c r="H195" s="92">
        <f t="shared" si="210"/>
        <v>0</v>
      </c>
      <c r="I195" s="54">
        <v>4.82</v>
      </c>
      <c r="J195" s="56">
        <v>4.82</v>
      </c>
      <c r="K195" s="54">
        <v>2.4500000000000002</v>
      </c>
      <c r="L195" s="57">
        <v>1</v>
      </c>
      <c r="M195" s="57">
        <v>147</v>
      </c>
      <c r="N195" s="57"/>
      <c r="O195" s="87" t="s">
        <v>133</v>
      </c>
      <c r="P195" s="24">
        <f t="shared" si="280"/>
        <v>13.7</v>
      </c>
      <c r="Q195" s="24">
        <f t="shared" si="279"/>
        <v>7.0449999999999999</v>
      </c>
      <c r="R195" s="24">
        <f t="shared" si="281"/>
        <v>0</v>
      </c>
      <c r="S195" s="87">
        <v>7.77</v>
      </c>
      <c r="T195" s="21">
        <f t="shared" si="282"/>
        <v>0</v>
      </c>
      <c r="U195" s="21"/>
      <c r="V195" s="24">
        <f t="shared" si="283"/>
        <v>2.085</v>
      </c>
      <c r="W195" s="24">
        <f t="shared" si="284"/>
        <v>2.2450000000000001</v>
      </c>
      <c r="X195" s="24">
        <f t="shared" si="285"/>
        <v>2.7182404849182289</v>
      </c>
      <c r="Y195" s="25">
        <f t="shared" si="223"/>
        <v>1</v>
      </c>
      <c r="Z195" s="24">
        <f t="shared" si="211"/>
        <v>12.390297459340342</v>
      </c>
      <c r="AA195" s="21">
        <f t="shared" si="286"/>
        <v>0</v>
      </c>
      <c r="AB195" s="24">
        <f t="shared" si="212"/>
        <v>0</v>
      </c>
      <c r="AC195" s="24">
        <f t="shared" si="225"/>
        <v>14.745297459340343</v>
      </c>
      <c r="AD195" s="58">
        <f t="shared" si="287"/>
        <v>222</v>
      </c>
      <c r="AE195" s="58">
        <f t="shared" si="288"/>
        <v>228</v>
      </c>
      <c r="AF195" s="21">
        <f t="shared" si="213"/>
        <v>2.355</v>
      </c>
      <c r="AG195" s="77">
        <f t="shared" si="214"/>
        <v>0</v>
      </c>
      <c r="AH195" s="114">
        <f t="shared" si="224"/>
        <v>1.04</v>
      </c>
      <c r="AI195" s="59">
        <f t="shared" si="215"/>
        <v>119.33103599487607</v>
      </c>
      <c r="AJ195" s="59">
        <f t="shared" si="216"/>
        <v>112.27648232372592</v>
      </c>
      <c r="AK195" s="55"/>
      <c r="AL195" s="55">
        <v>2.085</v>
      </c>
      <c r="AM195" s="21">
        <f t="shared" si="289"/>
        <v>0</v>
      </c>
      <c r="AN195" s="54">
        <v>7.0449999999999999</v>
      </c>
      <c r="AO195" s="55"/>
      <c r="AP195" s="21">
        <f t="shared" ref="AP195:AP223" si="292">AN195*AO195*2/3</f>
        <v>0</v>
      </c>
      <c r="AQ195" s="55"/>
      <c r="AR195" s="55"/>
      <c r="AS195" s="21">
        <f t="shared" ref="AS195:AS237" si="293">AQ195*AR195*2/3</f>
        <v>0</v>
      </c>
      <c r="AT195" s="54"/>
      <c r="AU195" s="54"/>
      <c r="AV195" s="21">
        <f t="shared" ref="AV195:AV237" si="294">AT195*AU195*0.5</f>
        <v>0</v>
      </c>
      <c r="AW195" s="54"/>
      <c r="AX195" s="54"/>
      <c r="AY195" s="21">
        <f t="shared" ref="AY195:AY237" si="295">AW195*AX195*0.5</f>
        <v>0</v>
      </c>
      <c r="AZ195" s="54"/>
      <c r="BA195" s="54"/>
      <c r="BB195" s="21">
        <f t="shared" ref="BB195:BB207" si="296">AZ195*BA195*2/3</f>
        <v>0</v>
      </c>
      <c r="BC195" s="54"/>
      <c r="BD195" s="54"/>
      <c r="BE195" s="21"/>
      <c r="BF195" s="55"/>
      <c r="BG195" s="55"/>
      <c r="BH195" s="21">
        <f t="shared" ref="BH195:BH207" si="297">BF195*BG195*0.5</f>
        <v>0</v>
      </c>
      <c r="BI195" s="55"/>
      <c r="BJ195" s="55"/>
      <c r="BK195" s="21">
        <f t="shared" ref="BK195:BK207" si="298">BI195*BJ195*2/3</f>
        <v>0</v>
      </c>
      <c r="BL195" s="55"/>
      <c r="BM195" s="55"/>
      <c r="BN195" s="21">
        <f t="shared" ref="BN195:BN207" si="299">BL195*BM195*0.5</f>
        <v>0</v>
      </c>
      <c r="BO195" s="55"/>
      <c r="BP195" s="55"/>
      <c r="BQ195" s="21">
        <f t="shared" ref="BQ195:BQ207" si="300">BO195*BP195*0.5</f>
        <v>0</v>
      </c>
      <c r="BR195" s="55"/>
      <c r="BS195" s="21">
        <f t="shared" ref="BS195:BS223" si="301">AM195+AP195+AS195+AV195+AY195+BB195+BE195+BH195+BK195+BN195+BQ195</f>
        <v>0</v>
      </c>
      <c r="BT195" s="56">
        <v>0</v>
      </c>
      <c r="BU195" s="56"/>
      <c r="BV195" s="21">
        <f t="shared" ref="BV195:BV237" si="302">BT195*BU195*0.5</f>
        <v>0</v>
      </c>
      <c r="BW195" s="77">
        <f t="shared" si="217"/>
        <v>0</v>
      </c>
      <c r="BX195" s="55"/>
      <c r="BY195" s="21">
        <f t="shared" ref="BY195:BY237" si="303">BW195*BX195*2/3</f>
        <v>0</v>
      </c>
      <c r="BZ195" s="55"/>
      <c r="CA195" s="55"/>
      <c r="CB195" s="21">
        <f>BZ195*CA195*2/3</f>
        <v>0</v>
      </c>
      <c r="CC195" s="54"/>
      <c r="CD195" s="54"/>
      <c r="CE195" s="21">
        <f t="shared" ref="CE195:CE237" si="304">CC195*CD195*2/3</f>
        <v>0</v>
      </c>
      <c r="CF195" s="21"/>
      <c r="CG195" s="21"/>
      <c r="CH195" s="21">
        <f t="shared" si="218"/>
        <v>0</v>
      </c>
      <c r="CI195" s="25">
        <f t="shared" si="219"/>
        <v>0</v>
      </c>
      <c r="CJ195" s="54"/>
      <c r="CK195" s="21">
        <f t="shared" ref="CK195:CK223" si="305">MastLength*circMast*0.5</f>
        <v>0</v>
      </c>
      <c r="CL195" s="55"/>
      <c r="CM195" s="55" t="s">
        <v>379</v>
      </c>
      <c r="CN195" s="60">
        <v>37001</v>
      </c>
      <c r="CO195" s="55" t="s">
        <v>236</v>
      </c>
      <c r="CP195" s="55"/>
      <c r="CQ195" s="55"/>
      <c r="CR195" s="55"/>
      <c r="CS195" s="55"/>
      <c r="CT195" s="55"/>
      <c r="CU195" s="55"/>
      <c r="CV195" s="55"/>
      <c r="CW195" s="55"/>
      <c r="CX195" s="55"/>
      <c r="CY195" s="21">
        <f t="shared" si="266"/>
        <v>0</v>
      </c>
      <c r="CZ195" s="56"/>
      <c r="DA195" s="56"/>
      <c r="DB195" s="56"/>
      <c r="DC195" s="56"/>
      <c r="DD195" s="61">
        <f t="shared" si="221"/>
        <v>0</v>
      </c>
      <c r="DE195" s="21">
        <f t="shared" si="222"/>
        <v>15.7</v>
      </c>
      <c r="DF195" s="55">
        <v>13.7</v>
      </c>
      <c r="DG195" s="55"/>
      <c r="DH195" s="55"/>
      <c r="DI195" s="55">
        <v>15.7</v>
      </c>
      <c r="DJ195" s="104"/>
      <c r="DK195" s="53"/>
      <c r="DM195" s="58">
        <f t="shared" si="273"/>
        <v>526.29781290239987</v>
      </c>
      <c r="DN195" s="58">
        <f t="shared" si="290"/>
        <v>438.82500000000005</v>
      </c>
      <c r="DO195" s="21">
        <f t="shared" si="291"/>
        <v>0.83379597870641098</v>
      </c>
      <c r="DP195" s="62">
        <f t="shared" si="268"/>
        <v>1.0201955442833275</v>
      </c>
      <c r="DQ195" s="7">
        <v>0</v>
      </c>
      <c r="DR195" s="107">
        <f t="shared" si="274"/>
        <v>0</v>
      </c>
    </row>
    <row r="196" spans="1:137" ht="12.75" customHeight="1" x14ac:dyDescent="0.2">
      <c r="A196" s="53" t="s">
        <v>380</v>
      </c>
      <c r="B196" s="54">
        <v>2</v>
      </c>
      <c r="C196" s="92">
        <f t="shared" si="247"/>
        <v>108.83393134417406</v>
      </c>
      <c r="D196" s="92">
        <f t="shared" si="248"/>
        <v>104.09024468687781</v>
      </c>
      <c r="E196" s="92">
        <f>VLOOKUP(A196,[3]TRTOTAL!$A$7:$D$313,3,FALSE)</f>
        <v>108.83393134417406</v>
      </c>
      <c r="F196" s="92">
        <f>VLOOKUP(A196,[3]TRTOTAL!$A$7:$D$313,4,FALSE)</f>
        <v>104.09024468687781</v>
      </c>
      <c r="G196" s="92">
        <f t="shared" si="209"/>
        <v>0</v>
      </c>
      <c r="H196" s="92">
        <f t="shared" si="210"/>
        <v>0</v>
      </c>
      <c r="I196" s="54">
        <v>5.22</v>
      </c>
      <c r="J196" s="56">
        <v>5.22</v>
      </c>
      <c r="K196" s="54">
        <v>2.44</v>
      </c>
      <c r="L196" s="57">
        <v>2</v>
      </c>
      <c r="M196" s="57"/>
      <c r="N196" s="57">
        <v>155</v>
      </c>
      <c r="O196" s="87"/>
      <c r="P196" s="24">
        <f t="shared" si="280"/>
        <v>15.317083333333333</v>
      </c>
      <c r="Q196" s="24">
        <f t="shared" si="279"/>
        <v>8.7200000000000006</v>
      </c>
      <c r="R196" s="24">
        <f t="shared" si="281"/>
        <v>3.8944666666666672</v>
      </c>
      <c r="S196" s="87">
        <v>9</v>
      </c>
      <c r="T196" s="21">
        <f t="shared" si="282"/>
        <v>5.64</v>
      </c>
      <c r="U196" s="21"/>
      <c r="V196" s="24">
        <f t="shared" si="283"/>
        <v>2.12</v>
      </c>
      <c r="W196" s="24">
        <f t="shared" si="284"/>
        <v>2.29</v>
      </c>
      <c r="X196" s="24">
        <f t="shared" si="285"/>
        <v>2.9208221302670299</v>
      </c>
      <c r="Y196" s="25">
        <f t="shared" si="223"/>
        <v>1</v>
      </c>
      <c r="Z196" s="24">
        <f t="shared" si="211"/>
        <v>14.154756769911042</v>
      </c>
      <c r="AA196" s="21">
        <f t="shared" si="286"/>
        <v>2.0302449747379305</v>
      </c>
      <c r="AB196" s="24">
        <f t="shared" si="212"/>
        <v>3.4677279643357686</v>
      </c>
      <c r="AC196" s="24">
        <f t="shared" si="225"/>
        <v>20.01998009888316</v>
      </c>
      <c r="AD196" s="58">
        <f t="shared" si="287"/>
        <v>299</v>
      </c>
      <c r="AE196" s="58">
        <f t="shared" si="288"/>
        <v>305</v>
      </c>
      <c r="AF196" s="21">
        <f t="shared" si="213"/>
        <v>2.8483000000000001</v>
      </c>
      <c r="AG196" s="77">
        <f t="shared" si="214"/>
        <v>0</v>
      </c>
      <c r="AH196" s="114">
        <f t="shared" si="224"/>
        <v>1</v>
      </c>
      <c r="AI196" s="59">
        <f t="shared" si="215"/>
        <v>107.19321278250698</v>
      </c>
      <c r="AJ196" s="59">
        <f t="shared" si="216"/>
        <v>102.52103925216693</v>
      </c>
      <c r="AK196" s="55">
        <v>8.7200000000000006</v>
      </c>
      <c r="AL196" s="55">
        <v>2.12</v>
      </c>
      <c r="AM196" s="21">
        <f t="shared" si="289"/>
        <v>9.2432000000000016</v>
      </c>
      <c r="AN196" s="54">
        <v>8.7200000000000006</v>
      </c>
      <c r="AO196" s="55">
        <v>0.14000000000000001</v>
      </c>
      <c r="AP196" s="21">
        <f t="shared" si="292"/>
        <v>0.81386666666666674</v>
      </c>
      <c r="AQ196" s="55"/>
      <c r="AR196" s="55"/>
      <c r="AS196" s="21">
        <f t="shared" si="293"/>
        <v>0</v>
      </c>
      <c r="AT196" s="54">
        <v>8.39</v>
      </c>
      <c r="AU196" s="54">
        <v>0.6</v>
      </c>
      <c r="AV196" s="21">
        <f t="shared" si="294"/>
        <v>2.5169999999999999</v>
      </c>
      <c r="AW196" s="54">
        <v>3.44</v>
      </c>
      <c r="AX196" s="54">
        <v>0.33</v>
      </c>
      <c r="AY196" s="21">
        <f t="shared" si="295"/>
        <v>0.56759999999999999</v>
      </c>
      <c r="AZ196" s="54">
        <v>5.04</v>
      </c>
      <c r="BA196" s="54">
        <v>2.5000000000000001E-2</v>
      </c>
      <c r="BB196" s="21">
        <f t="shared" si="296"/>
        <v>8.4000000000000005E-2</v>
      </c>
      <c r="BC196" s="54">
        <v>0</v>
      </c>
      <c r="BD196" s="54">
        <v>0</v>
      </c>
      <c r="BE196" s="21">
        <f t="shared" ref="BE196:BE207" si="306">BC196*BD196*2/3</f>
        <v>0</v>
      </c>
      <c r="BF196" s="55">
        <v>2.25</v>
      </c>
      <c r="BG196" s="55">
        <v>0.45400000000000001</v>
      </c>
      <c r="BH196" s="21">
        <f t="shared" si="297"/>
        <v>0.51075000000000004</v>
      </c>
      <c r="BI196" s="55">
        <v>1.9</v>
      </c>
      <c r="BJ196" s="55">
        <v>0.04</v>
      </c>
      <c r="BK196" s="21">
        <f t="shared" si="298"/>
        <v>5.0666666666666665E-2</v>
      </c>
      <c r="BL196" s="55"/>
      <c r="BM196" s="55"/>
      <c r="BN196" s="21">
        <f t="shared" si="299"/>
        <v>0</v>
      </c>
      <c r="BO196" s="55"/>
      <c r="BP196" s="55"/>
      <c r="BQ196" s="21">
        <f t="shared" si="300"/>
        <v>0</v>
      </c>
      <c r="BR196" s="55"/>
      <c r="BS196" s="21">
        <f t="shared" si="301"/>
        <v>13.787083333333333</v>
      </c>
      <c r="BT196" s="56">
        <v>6</v>
      </c>
      <c r="BU196" s="56">
        <v>1.385</v>
      </c>
      <c r="BV196" s="21">
        <f t="shared" si="302"/>
        <v>4.1550000000000002</v>
      </c>
      <c r="BW196" s="77">
        <f t="shared" si="217"/>
        <v>6</v>
      </c>
      <c r="BX196" s="55">
        <v>-0.01</v>
      </c>
      <c r="BY196" s="21">
        <f t="shared" si="303"/>
        <v>-0.04</v>
      </c>
      <c r="BZ196" s="55">
        <v>5.42</v>
      </c>
      <c r="CA196" s="55">
        <v>-7.4999999999999997E-2</v>
      </c>
      <c r="CB196" s="21">
        <v>-0.26</v>
      </c>
      <c r="CC196" s="55">
        <v>1.48</v>
      </c>
      <c r="CD196" s="55">
        <v>0.04</v>
      </c>
      <c r="CE196" s="21">
        <f t="shared" si="304"/>
        <v>3.9466666666666671E-2</v>
      </c>
      <c r="CF196" s="21"/>
      <c r="CG196" s="21"/>
      <c r="CH196" s="21">
        <f t="shared" si="218"/>
        <v>0</v>
      </c>
      <c r="CI196" s="25">
        <f t="shared" si="219"/>
        <v>3.8944666666666672</v>
      </c>
      <c r="CJ196" s="54">
        <v>0.34</v>
      </c>
      <c r="CK196" s="21">
        <f t="shared" si="305"/>
        <v>1.53</v>
      </c>
      <c r="CL196" s="55">
        <v>388</v>
      </c>
      <c r="CM196" s="55" t="s">
        <v>381</v>
      </c>
      <c r="CN196" s="60">
        <v>39598</v>
      </c>
      <c r="CO196" s="55" t="s">
        <v>382</v>
      </c>
      <c r="CP196" s="55">
        <v>3963</v>
      </c>
      <c r="CQ196" s="55">
        <v>3962</v>
      </c>
      <c r="CR196" s="55">
        <v>3947</v>
      </c>
      <c r="CS196" s="55"/>
      <c r="CT196" s="55"/>
      <c r="CU196" s="55"/>
      <c r="CV196" s="55"/>
      <c r="CW196" s="55"/>
      <c r="CX196" s="55"/>
      <c r="CY196" s="21">
        <f t="shared" si="266"/>
        <v>0</v>
      </c>
      <c r="CZ196" s="56">
        <v>3.48</v>
      </c>
      <c r="DA196" s="56">
        <v>8.34</v>
      </c>
      <c r="DB196" s="56">
        <v>7.31</v>
      </c>
      <c r="DC196" s="56">
        <v>2.77</v>
      </c>
      <c r="DD196" s="61">
        <f t="shared" si="221"/>
        <v>0.79597701149425293</v>
      </c>
      <c r="DE196" s="21">
        <f t="shared" si="222"/>
        <v>18.988666666666667</v>
      </c>
      <c r="DF196" s="55"/>
      <c r="DG196" s="55"/>
      <c r="DH196" s="55"/>
      <c r="DI196" s="55"/>
      <c r="DJ196" s="104"/>
      <c r="DK196" s="53"/>
      <c r="DM196" s="58">
        <f t="shared" si="273"/>
        <v>801.10881895188459</v>
      </c>
      <c r="DN196" s="58">
        <f t="shared" si="290"/>
        <v>697.78</v>
      </c>
      <c r="DO196" s="21">
        <f t="shared" si="291"/>
        <v>0.87101774876592564</v>
      </c>
      <c r="DP196" s="62">
        <f t="shared" si="268"/>
        <v>1.0153061795525811</v>
      </c>
      <c r="DQ196" s="7" t="s">
        <v>130</v>
      </c>
      <c r="DR196" s="107">
        <f t="shared" si="274"/>
        <v>0</v>
      </c>
    </row>
    <row r="197" spans="1:137" ht="12.75" customHeight="1" x14ac:dyDescent="0.2">
      <c r="A197" s="53" t="s">
        <v>383</v>
      </c>
      <c r="B197" s="54">
        <v>2</v>
      </c>
      <c r="C197" s="92">
        <f t="shared" si="247"/>
        <v>104.38083581564808</v>
      </c>
      <c r="D197" s="92">
        <f t="shared" si="248"/>
        <v>99.960418870354729</v>
      </c>
      <c r="E197" s="92">
        <f>VLOOKUP(A197,[3]TRTOTAL!$A$7:$D$313,3,FALSE)</f>
        <v>104.95771809188007</v>
      </c>
      <c r="F197" s="92">
        <f>VLOOKUP(A197,[3]TRTOTAL!$A$7:$D$313,4,FALSE)</f>
        <v>100.37014141528145</v>
      </c>
      <c r="G197" s="92">
        <f t="shared" ref="G197:G261" si="307">C197-E197</f>
        <v>-0.57688227623198429</v>
      </c>
      <c r="H197" s="92">
        <f t="shared" ref="H197:H261" si="308">D197-F197</f>
        <v>-0.40972254492672278</v>
      </c>
      <c r="I197" s="54">
        <v>5.52</v>
      </c>
      <c r="J197" s="56">
        <v>5.52</v>
      </c>
      <c r="K197" s="54">
        <v>2.6</v>
      </c>
      <c r="L197" s="57">
        <v>2</v>
      </c>
      <c r="M197" s="57"/>
      <c r="N197" s="57">
        <v>180</v>
      </c>
      <c r="O197" s="87"/>
      <c r="P197" s="24">
        <f t="shared" si="280"/>
        <v>17</v>
      </c>
      <c r="Q197" s="24">
        <f t="shared" si="279"/>
        <v>9.0500000000000007</v>
      </c>
      <c r="R197" s="24">
        <f t="shared" si="281"/>
        <v>4.3</v>
      </c>
      <c r="S197" s="87">
        <v>9.0500000000000007</v>
      </c>
      <c r="T197" s="21">
        <f t="shared" si="282"/>
        <v>5.73</v>
      </c>
      <c r="U197" s="21">
        <v>2.1</v>
      </c>
      <c r="V197" s="24">
        <f t="shared" si="283"/>
        <v>2.1</v>
      </c>
      <c r="W197" s="24">
        <f t="shared" si="284"/>
        <v>2.2600000000000002</v>
      </c>
      <c r="X197" s="24">
        <f t="shared" si="285"/>
        <v>3.3283734043386315</v>
      </c>
      <c r="Y197" s="25">
        <f t="shared" si="223"/>
        <v>1</v>
      </c>
      <c r="Z197" s="24">
        <f t="shared" si="211"/>
        <v>16.337791034816128</v>
      </c>
      <c r="AA197" s="21">
        <f t="shared" si="286"/>
        <v>0</v>
      </c>
      <c r="AB197" s="24">
        <f t="shared" si="212"/>
        <v>3.87</v>
      </c>
      <c r="AC197" s="24">
        <f t="shared" si="225"/>
        <v>22.854691034816128</v>
      </c>
      <c r="AD197" s="58">
        <f t="shared" si="287"/>
        <v>324</v>
      </c>
      <c r="AE197" s="58">
        <f t="shared" si="288"/>
        <v>330</v>
      </c>
      <c r="AF197" s="21">
        <f t="shared" si="213"/>
        <v>3.15</v>
      </c>
      <c r="AG197" s="77">
        <f t="shared" si="214"/>
        <v>0</v>
      </c>
      <c r="AH197" s="114">
        <f t="shared" si="224"/>
        <v>1</v>
      </c>
      <c r="AI197" s="59">
        <f t="shared" si="215"/>
        <v>102.43303194979761</v>
      </c>
      <c r="AJ197" s="59">
        <f t="shared" si="216"/>
        <v>98.095102418476685</v>
      </c>
      <c r="AK197" s="55"/>
      <c r="AL197" s="55"/>
      <c r="AM197" s="21">
        <f t="shared" si="289"/>
        <v>0</v>
      </c>
      <c r="AN197" s="54">
        <v>9.0500000000000007</v>
      </c>
      <c r="AO197" s="55"/>
      <c r="AP197" s="21">
        <f t="shared" si="292"/>
        <v>0</v>
      </c>
      <c r="AQ197" s="55"/>
      <c r="AR197" s="55"/>
      <c r="AS197" s="21">
        <f t="shared" si="293"/>
        <v>0</v>
      </c>
      <c r="AT197" s="54"/>
      <c r="AU197" s="54"/>
      <c r="AV197" s="21">
        <f t="shared" si="294"/>
        <v>0</v>
      </c>
      <c r="AW197" s="54"/>
      <c r="AX197" s="54"/>
      <c r="AY197" s="21">
        <f t="shared" si="295"/>
        <v>0</v>
      </c>
      <c r="AZ197" s="54"/>
      <c r="BA197" s="54"/>
      <c r="BB197" s="21">
        <f t="shared" si="296"/>
        <v>0</v>
      </c>
      <c r="BC197" s="54"/>
      <c r="BD197" s="54"/>
      <c r="BE197" s="21">
        <f t="shared" si="306"/>
        <v>0</v>
      </c>
      <c r="BF197" s="55"/>
      <c r="BG197" s="55"/>
      <c r="BH197" s="21">
        <f t="shared" si="297"/>
        <v>0</v>
      </c>
      <c r="BI197" s="55"/>
      <c r="BJ197" s="55"/>
      <c r="BK197" s="21">
        <f t="shared" si="298"/>
        <v>0</v>
      </c>
      <c r="BL197" s="55"/>
      <c r="BM197" s="55"/>
      <c r="BN197" s="21">
        <f t="shared" si="299"/>
        <v>0</v>
      </c>
      <c r="BO197" s="55"/>
      <c r="BP197" s="55"/>
      <c r="BQ197" s="21">
        <f t="shared" si="300"/>
        <v>0</v>
      </c>
      <c r="BR197" s="55"/>
      <c r="BS197" s="21">
        <f t="shared" si="301"/>
        <v>0</v>
      </c>
      <c r="BT197" s="56">
        <v>0</v>
      </c>
      <c r="BU197" s="56"/>
      <c r="BV197" s="21">
        <f t="shared" si="302"/>
        <v>0</v>
      </c>
      <c r="BW197" s="77">
        <f t="shared" si="217"/>
        <v>0</v>
      </c>
      <c r="BX197" s="55"/>
      <c r="BY197" s="21">
        <f t="shared" si="303"/>
        <v>0</v>
      </c>
      <c r="BZ197" s="55"/>
      <c r="CA197" s="55"/>
      <c r="CB197" s="21">
        <f t="shared" ref="CB197:CB237" si="309">BZ197*CA197*2/3</f>
        <v>0</v>
      </c>
      <c r="CC197" s="55"/>
      <c r="CD197" s="55"/>
      <c r="CE197" s="21">
        <f t="shared" si="304"/>
        <v>0</v>
      </c>
      <c r="CF197" s="21"/>
      <c r="CG197" s="21"/>
      <c r="CH197" s="21">
        <f t="shared" si="218"/>
        <v>0</v>
      </c>
      <c r="CI197" s="25">
        <f t="shared" si="219"/>
        <v>4.3</v>
      </c>
      <c r="CJ197" s="54"/>
      <c r="CK197" s="21">
        <f t="shared" si="305"/>
        <v>0</v>
      </c>
      <c r="CL197" s="55"/>
      <c r="CM197" s="55"/>
      <c r="CN197" s="60"/>
      <c r="CO197" s="55"/>
      <c r="CP197" s="55"/>
      <c r="CQ197" s="55"/>
      <c r="CR197" s="55"/>
      <c r="CS197" s="55"/>
      <c r="CT197" s="55"/>
      <c r="CU197" s="55"/>
      <c r="CV197" s="55"/>
      <c r="CW197" s="55"/>
      <c r="CX197" s="55"/>
      <c r="CY197" s="21">
        <f t="shared" si="266"/>
        <v>0</v>
      </c>
      <c r="CZ197" s="56"/>
      <c r="DA197" s="56"/>
      <c r="DB197" s="56"/>
      <c r="DC197" s="56"/>
      <c r="DD197" s="61">
        <f t="shared" si="221"/>
        <v>0</v>
      </c>
      <c r="DE197" s="21">
        <f t="shared" si="222"/>
        <v>21</v>
      </c>
      <c r="DF197" s="55">
        <v>17</v>
      </c>
      <c r="DG197" s="55">
        <v>4.3</v>
      </c>
      <c r="DH197" s="55">
        <v>5.73</v>
      </c>
      <c r="DI197" s="55">
        <v>21</v>
      </c>
      <c r="DJ197" s="104"/>
      <c r="DK197" s="53" t="s">
        <v>169</v>
      </c>
      <c r="DM197" s="58">
        <f t="shared" si="273"/>
        <v>909.31118396160002</v>
      </c>
      <c r="DN197" s="58">
        <f t="shared" si="290"/>
        <v>766.2</v>
      </c>
      <c r="DO197" s="21">
        <f t="shared" si="291"/>
        <v>0.84261583219717273</v>
      </c>
      <c r="DP197" s="62">
        <f t="shared" si="268"/>
        <v>1.0190153881885005</v>
      </c>
      <c r="DQ197" s="7">
        <v>0</v>
      </c>
      <c r="DR197" s="107" t="str">
        <f t="shared" si="274"/>
        <v>yes</v>
      </c>
    </row>
    <row r="198" spans="1:137" x14ac:dyDescent="0.2">
      <c r="A198" s="53" t="s">
        <v>563</v>
      </c>
      <c r="B198" s="54">
        <v>2</v>
      </c>
      <c r="C198" s="92">
        <f t="shared" si="247"/>
        <v>100.1185670626249</v>
      </c>
      <c r="D198" s="92">
        <f t="shared" si="248"/>
        <v>95.858414080753903</v>
      </c>
      <c r="E198" s="92">
        <f>VLOOKUP(A198,[3]TRTOTAL!$A$7:$D$313,3,FALSE)</f>
        <v>102.52056628792776</v>
      </c>
      <c r="F198" s="92">
        <f>VLOOKUP(A198,[3]TRTOTAL!$A$7:$D$313,4,FALSE)</f>
        <v>98.018819916614831</v>
      </c>
      <c r="G198" s="92">
        <f t="shared" si="307"/>
        <v>-2.401999225302859</v>
      </c>
      <c r="H198" s="92">
        <f t="shared" si="308"/>
        <v>-2.1604058358609279</v>
      </c>
      <c r="I198" s="54">
        <v>5.52</v>
      </c>
      <c r="J198" s="56">
        <v>5.52</v>
      </c>
      <c r="K198" s="54">
        <v>2.6</v>
      </c>
      <c r="L198" s="57">
        <v>2</v>
      </c>
      <c r="M198" s="57">
        <v>0</v>
      </c>
      <c r="N198" s="57">
        <v>192</v>
      </c>
      <c r="O198" s="21" t="s">
        <v>604</v>
      </c>
      <c r="P198" s="24">
        <f t="shared" si="280"/>
        <v>17</v>
      </c>
      <c r="Q198" s="24">
        <f t="shared" si="279"/>
        <v>9.0500000000000007</v>
      </c>
      <c r="R198" s="24">
        <f t="shared" si="281"/>
        <v>4.3</v>
      </c>
      <c r="S198" s="87">
        <v>9.0500000000000007</v>
      </c>
      <c r="T198" s="21">
        <f t="shared" si="282"/>
        <v>5.73</v>
      </c>
      <c r="U198" s="21">
        <v>2.1</v>
      </c>
      <c r="V198" s="24">
        <f t="shared" si="283"/>
        <v>2.1</v>
      </c>
      <c r="W198" s="24">
        <f t="shared" si="284"/>
        <v>2.2600000000000002</v>
      </c>
      <c r="X198" s="24">
        <f t="shared" si="285"/>
        <v>3.3283734043386315</v>
      </c>
      <c r="Y198" s="25">
        <f t="shared" si="223"/>
        <v>1</v>
      </c>
      <c r="Z198" s="24">
        <f t="shared" si="211"/>
        <v>16.337791034816128</v>
      </c>
      <c r="AA198" s="21">
        <f t="shared" si="286"/>
        <v>0</v>
      </c>
      <c r="AB198" s="24">
        <f t="shared" si="212"/>
        <v>3.87</v>
      </c>
      <c r="AC198" s="24">
        <f t="shared" si="225"/>
        <v>22.854691034816128</v>
      </c>
      <c r="AD198" s="58">
        <f t="shared" si="287"/>
        <v>336</v>
      </c>
      <c r="AE198" s="58">
        <f t="shared" si="288"/>
        <v>342</v>
      </c>
      <c r="AF198" s="21">
        <f t="shared" si="213"/>
        <v>3.15</v>
      </c>
      <c r="AG198" s="77">
        <f t="shared" si="214"/>
        <v>0</v>
      </c>
      <c r="AH198" s="114">
        <f t="shared" si="224"/>
        <v>0.95</v>
      </c>
      <c r="AI198" s="59">
        <f t="shared" si="215"/>
        <v>98.468374759311629</v>
      </c>
      <c r="AJ198" s="59">
        <f t="shared" si="216"/>
        <v>94.278439239274888</v>
      </c>
      <c r="AK198" s="55"/>
      <c r="AL198" s="55"/>
      <c r="AM198" s="21">
        <f t="shared" si="289"/>
        <v>0</v>
      </c>
      <c r="AN198" s="54">
        <v>9.0500000000000007</v>
      </c>
      <c r="AO198" s="55"/>
      <c r="AP198" s="21">
        <f t="shared" si="292"/>
        <v>0</v>
      </c>
      <c r="AQ198" s="55"/>
      <c r="AR198" s="55"/>
      <c r="AS198" s="21">
        <f t="shared" si="293"/>
        <v>0</v>
      </c>
      <c r="AT198" s="54"/>
      <c r="AU198" s="54"/>
      <c r="AV198" s="21">
        <f t="shared" si="294"/>
        <v>0</v>
      </c>
      <c r="AW198" s="54"/>
      <c r="AX198" s="54"/>
      <c r="AY198" s="21">
        <f t="shared" si="295"/>
        <v>0</v>
      </c>
      <c r="AZ198" s="54"/>
      <c r="BA198" s="54"/>
      <c r="BB198" s="21">
        <f t="shared" si="296"/>
        <v>0</v>
      </c>
      <c r="BC198" s="54"/>
      <c r="BD198" s="54"/>
      <c r="BE198" s="21">
        <f t="shared" si="306"/>
        <v>0</v>
      </c>
      <c r="BF198" s="55"/>
      <c r="BG198" s="55"/>
      <c r="BH198" s="21">
        <f t="shared" si="297"/>
        <v>0</v>
      </c>
      <c r="BI198" s="55"/>
      <c r="BJ198" s="55"/>
      <c r="BK198" s="21">
        <f t="shared" si="298"/>
        <v>0</v>
      </c>
      <c r="BL198" s="55"/>
      <c r="BM198" s="55"/>
      <c r="BN198" s="21">
        <f t="shared" si="299"/>
        <v>0</v>
      </c>
      <c r="BO198" s="55"/>
      <c r="BP198" s="55"/>
      <c r="BQ198" s="21">
        <f t="shared" si="300"/>
        <v>0</v>
      </c>
      <c r="BR198" s="55"/>
      <c r="BS198" s="21">
        <f t="shared" si="301"/>
        <v>0</v>
      </c>
      <c r="BT198" s="56">
        <v>0</v>
      </c>
      <c r="BU198" s="56"/>
      <c r="BV198" s="21">
        <f t="shared" si="302"/>
        <v>0</v>
      </c>
      <c r="BW198" s="77">
        <f t="shared" si="217"/>
        <v>0</v>
      </c>
      <c r="BX198" s="55"/>
      <c r="BY198" s="21">
        <f t="shared" si="303"/>
        <v>0</v>
      </c>
      <c r="BZ198" s="55"/>
      <c r="CA198" s="55"/>
      <c r="CB198" s="21">
        <f t="shared" si="309"/>
        <v>0</v>
      </c>
      <c r="CC198" s="55"/>
      <c r="CD198" s="55"/>
      <c r="CE198" s="21">
        <f t="shared" si="304"/>
        <v>0</v>
      </c>
      <c r="CF198" s="21"/>
      <c r="CG198" s="21"/>
      <c r="CH198" s="21">
        <f t="shared" si="218"/>
        <v>0</v>
      </c>
      <c r="CI198" s="25">
        <f t="shared" si="219"/>
        <v>4.3</v>
      </c>
      <c r="CJ198" s="54"/>
      <c r="CK198" s="21">
        <f t="shared" si="305"/>
        <v>0</v>
      </c>
      <c r="CL198" s="55"/>
      <c r="CM198" s="55"/>
      <c r="CN198" s="60"/>
      <c r="CO198" s="55"/>
      <c r="CP198" s="55"/>
      <c r="CQ198" s="55"/>
      <c r="CR198" s="55"/>
      <c r="CS198" s="55"/>
      <c r="CT198" s="55"/>
      <c r="CU198" s="55"/>
      <c r="CV198" s="55"/>
      <c r="CW198" s="55"/>
      <c r="CX198" s="55"/>
      <c r="CY198" s="21">
        <f t="shared" si="266"/>
        <v>0</v>
      </c>
      <c r="CZ198" s="56"/>
      <c r="DA198" s="56"/>
      <c r="DB198" s="56"/>
      <c r="DC198" s="56"/>
      <c r="DD198" s="61">
        <f t="shared" si="221"/>
        <v>0</v>
      </c>
      <c r="DE198" s="21">
        <f t="shared" si="222"/>
        <v>21</v>
      </c>
      <c r="DF198" s="55">
        <v>17</v>
      </c>
      <c r="DG198" s="55">
        <v>4.3</v>
      </c>
      <c r="DH198" s="55">
        <v>5.73</v>
      </c>
      <c r="DI198" s="55">
        <v>21</v>
      </c>
      <c r="DJ198" s="104"/>
      <c r="DK198" s="53" t="s">
        <v>564</v>
      </c>
      <c r="DM198" s="58">
        <f t="shared" si="273"/>
        <v>909.31118396160002</v>
      </c>
      <c r="DN198" s="58">
        <f t="shared" si="290"/>
        <v>781.8</v>
      </c>
      <c r="DO198" s="21">
        <f t="shared" si="291"/>
        <v>0.85977167529594045</v>
      </c>
      <c r="DP198" s="62">
        <f t="shared" si="268"/>
        <v>1.0167586020115278</v>
      </c>
      <c r="DQ198" s="7">
        <v>0</v>
      </c>
      <c r="DR198" s="107" t="str">
        <f t="shared" si="274"/>
        <v>yes</v>
      </c>
    </row>
    <row r="199" spans="1:137" x14ac:dyDescent="0.2">
      <c r="A199" s="53" t="s">
        <v>384</v>
      </c>
      <c r="B199" s="54">
        <v>2</v>
      </c>
      <c r="C199" s="92">
        <f>AI199*PowerFactor</f>
        <v>93.933792561333846</v>
      </c>
      <c r="D199" s="92">
        <f>AJ199*PowerFactor*IF(crew=1,1.01,1)</f>
        <v>89.464297054437907</v>
      </c>
      <c r="E199" s="92">
        <f>VLOOKUP(A199,[3]TRTOTAL!$A$7:$D$313,3,FALSE)</f>
        <v>94.556510712247899</v>
      </c>
      <c r="F199" s="92">
        <f>VLOOKUP(A199,[3]TRTOTAL!$A$7:$D$313,4,FALSE)</f>
        <v>90.057385442710839</v>
      </c>
      <c r="G199" s="92">
        <f t="shared" si="307"/>
        <v>-0.62271815091405358</v>
      </c>
      <c r="H199" s="92">
        <f t="shared" si="308"/>
        <v>-0.59308838827293187</v>
      </c>
      <c r="I199" s="54">
        <v>6.2</v>
      </c>
      <c r="J199" s="56">
        <v>6.2</v>
      </c>
      <c r="K199" s="54">
        <v>3.2</v>
      </c>
      <c r="L199" s="57">
        <v>2</v>
      </c>
      <c r="M199" s="57">
        <v>0</v>
      </c>
      <c r="N199" s="57">
        <v>182</v>
      </c>
      <c r="O199" s="21" t="s">
        <v>602</v>
      </c>
      <c r="P199" s="24">
        <f>marea+areaMast+mssam+mareNoDet</f>
        <v>21.073333333333331</v>
      </c>
      <c r="Q199" s="24">
        <f t="shared" si="279"/>
        <v>10.45</v>
      </c>
      <c r="R199" s="24">
        <f t="shared" si="281"/>
        <v>4.9986033333333335</v>
      </c>
      <c r="S199" s="7">
        <v>10.45</v>
      </c>
      <c r="T199" s="21">
        <f>IF(gs_1,gs_1*0.94,VlgNoDetails)</f>
        <v>6.5141999999999998</v>
      </c>
      <c r="V199" s="24">
        <f t="shared" si="283"/>
        <v>2.42</v>
      </c>
      <c r="W199" s="24">
        <f>IF(circMast,circMast/2,0.16)+V199</f>
        <v>2.63</v>
      </c>
      <c r="X199" s="24">
        <f>msam/e^2</f>
        <v>3.0466442095929294</v>
      </c>
      <c r="Y199" s="25">
        <f t="shared" si="223"/>
        <v>1</v>
      </c>
      <c r="Z199" s="24">
        <f>0.67*X199^0.3*msam*Y199</f>
        <v>19.722163798479396</v>
      </c>
      <c r="AA199" s="21">
        <f>IF(lpg,msag/lpg^2,0)</f>
        <v>2.198092636501582</v>
      </c>
      <c r="AB199" s="24">
        <f>IF(AA199,0.72*AA199^0.3*msag,IF(msag,0.9*msag,0))</f>
        <v>4.5582167041258304</v>
      </c>
      <c r="AC199" s="24">
        <f>rsam+rsag+IF(rsascr,rsascr-jibred*rsag,rsas-jibred*rsag)</f>
        <v>27.836917331068868</v>
      </c>
      <c r="AD199" s="58">
        <f>IF(wsex,wsex,wsin-6)+crew*(IF(AND(crew=1,msam+msag&gt;=11),75,IF(loa&lt;=4,65,IF(loa&lt;=4.8,70,75))))</f>
        <v>326</v>
      </c>
      <c r="AE199" s="58">
        <f>IF(wsin,wsin,wsex+6)+crew*(IF(AND(crew=1,msam+msag&gt;=11),75,IF(loa&lt;=4,65,IF(loa&lt;=4.8,70,75))))</f>
        <v>332</v>
      </c>
      <c r="AF199" s="21">
        <f>IF(sas,((sas)*0.15),IF(loa&lt;=4.87,IF(crew=1,14*0.15,17*0.15),IF(loa&lt;=5.8,IF(crew=1,17*0.15,21*0.15),IF(loa&lt;=6.71,IF(crew=1,20*0.15,25*0.15),0))))</f>
        <v>4.1491050000000005</v>
      </c>
      <c r="AG199" s="77">
        <f>IF(AND(ars&lt;0.75*(AND(ars&gt;0)),(sas/msam&gt;0.75)),(sas*(12/ars^1.1)*0.01),0)</f>
        <v>0</v>
      </c>
      <c r="AH199" s="114">
        <f t="shared" si="224"/>
        <v>0.98499999999999999</v>
      </c>
      <c r="AI199" s="59">
        <f>100/(1.15*rl^0.3*(rsam+rsag)^0.4/rwex^0.325)*corcb</f>
        <v>90.722374368357166</v>
      </c>
      <c r="AJ199" s="59">
        <f>100/(1.15*rl^0.3*rsa^0.4/rwin^0.325)*corcb</f>
        <v>86.405682435051645</v>
      </c>
      <c r="AK199" s="7">
        <v>10.45</v>
      </c>
      <c r="AL199" s="7">
        <v>2.42</v>
      </c>
      <c r="AM199" s="21">
        <f t="shared" si="289"/>
        <v>12.644499999999999</v>
      </c>
      <c r="AN199" s="7">
        <v>10.45</v>
      </c>
      <c r="AO199" s="7">
        <v>0.13</v>
      </c>
      <c r="AP199" s="21">
        <f t="shared" si="292"/>
        <v>0.90566666666666673</v>
      </c>
      <c r="AQ199" s="7">
        <v>0</v>
      </c>
      <c r="AR199" s="7">
        <v>2.42</v>
      </c>
      <c r="AS199" s="21">
        <f t="shared" si="293"/>
        <v>0</v>
      </c>
      <c r="AT199" s="7">
        <v>9.76</v>
      </c>
      <c r="AU199" s="7">
        <v>0.62</v>
      </c>
      <c r="AV199" s="21">
        <f t="shared" si="294"/>
        <v>3.0255999999999998</v>
      </c>
      <c r="AW199" s="7">
        <v>4.62</v>
      </c>
      <c r="AX199" s="7">
        <v>0.64</v>
      </c>
      <c r="AY199" s="21">
        <f t="shared" si="295"/>
        <v>1.4784000000000002</v>
      </c>
      <c r="AZ199" s="7">
        <v>4.84</v>
      </c>
      <c r="BA199" s="7">
        <v>0.02</v>
      </c>
      <c r="BB199" s="21">
        <f t="shared" si="296"/>
        <v>6.4533333333333331E-2</v>
      </c>
      <c r="BC199" s="7">
        <v>2.41</v>
      </c>
      <c r="BD199" s="7">
        <v>0.02</v>
      </c>
      <c r="BE199" s="21">
        <f t="shared" si="306"/>
        <v>3.213333333333334E-2</v>
      </c>
      <c r="BF199" s="7">
        <v>2.36</v>
      </c>
      <c r="BG199" s="7">
        <v>0.6</v>
      </c>
      <c r="BH199" s="21">
        <f t="shared" si="297"/>
        <v>0.70799999999999996</v>
      </c>
      <c r="BI199" s="7">
        <v>2</v>
      </c>
      <c r="BJ199" s="7">
        <v>1.4999999999999999E-2</v>
      </c>
      <c r="BK199" s="21">
        <f t="shared" si="298"/>
        <v>0.02</v>
      </c>
      <c r="BN199" s="21">
        <f t="shared" si="299"/>
        <v>0</v>
      </c>
      <c r="BQ199" s="21">
        <f t="shared" si="300"/>
        <v>0</v>
      </c>
      <c r="BS199" s="21">
        <f t="shared" si="301"/>
        <v>18.878833333333333</v>
      </c>
      <c r="BT199" s="56">
        <v>6.93</v>
      </c>
      <c r="BU199" s="96">
        <v>1.508</v>
      </c>
      <c r="BV199" s="21">
        <f>BT199*BU199*0.5</f>
        <v>5.2252200000000002</v>
      </c>
      <c r="BW199" s="77">
        <f>BT199-CF199</f>
        <v>6.93</v>
      </c>
      <c r="BX199" s="97">
        <v>-5.0000000000000001E-3</v>
      </c>
      <c r="BY199" s="21">
        <f>BW199*BX199*2/3</f>
        <v>-2.3099999999999999E-2</v>
      </c>
      <c r="BZ199" s="97">
        <v>6.55</v>
      </c>
      <c r="CA199" s="97">
        <v>-0.06</v>
      </c>
      <c r="CB199" s="21">
        <f>BZ199*CA199*2/3</f>
        <v>-0.26199999999999996</v>
      </c>
      <c r="CC199" s="98">
        <v>1.595</v>
      </c>
      <c r="CD199" s="98">
        <v>5.5E-2</v>
      </c>
      <c r="CE199" s="21">
        <f>CC199*CD199*2/3</f>
        <v>5.8483333333333332E-2</v>
      </c>
      <c r="CH199" s="21">
        <f>CF199*CG199*0.5</f>
        <v>0</v>
      </c>
      <c r="CI199" s="25">
        <f>BV199+BY199+CB199+CE199+CH199+DG199</f>
        <v>4.9986033333333335</v>
      </c>
      <c r="CJ199" s="7">
        <v>0.42</v>
      </c>
      <c r="CK199" s="21">
        <f>MastLength*circMast*0.5</f>
        <v>2.1944999999999997</v>
      </c>
      <c r="CL199" s="11">
        <v>0</v>
      </c>
      <c r="CM199" s="11" t="s">
        <v>560</v>
      </c>
      <c r="CN199" s="12">
        <v>43623</v>
      </c>
      <c r="CO199" s="11" t="s">
        <v>385</v>
      </c>
      <c r="CP199" s="11">
        <v>0</v>
      </c>
      <c r="CQ199" s="11">
        <v>0</v>
      </c>
      <c r="CR199" s="11">
        <v>0</v>
      </c>
      <c r="CS199" s="11">
        <v>0</v>
      </c>
      <c r="CY199" s="21">
        <f t="shared" si="266"/>
        <v>0</v>
      </c>
      <c r="CZ199" s="13">
        <v>4.5</v>
      </c>
      <c r="DA199" s="13">
        <v>9.8000000000000007</v>
      </c>
      <c r="DB199" s="13">
        <v>8.6199999999999992</v>
      </c>
      <c r="DC199" s="13">
        <v>3.38</v>
      </c>
      <c r="DD199" s="61">
        <f>IF(CZ199,DC199/CZ199,smg_sf_no_details)</f>
        <v>0.75111111111111106</v>
      </c>
      <c r="DE199" s="21">
        <f>IF(CZ199,CZ199*(DA199+DB199)/4+(DC199-CZ199/2)*(DA199+DB199)/3,sas_no_details)</f>
        <v>27.660700000000002</v>
      </c>
      <c r="DF199" s="11">
        <v>0</v>
      </c>
      <c r="DG199" s="11">
        <v>0</v>
      </c>
      <c r="DI199" s="11">
        <v>0</v>
      </c>
      <c r="DK199" s="14">
        <v>0</v>
      </c>
      <c r="DM199" s="58">
        <f t="shared" si="273"/>
        <v>1250.6758520386206</v>
      </c>
      <c r="DN199" s="58">
        <f>IF(wsex,0.5*wsex*width+(rwex-wsex)*width+trapeze*(rwex-wsex)/crew,0.5*(wsin-6)*width+(rwin-wsin)*width+trapeze*(rwin-wsin)/crew)</f>
        <v>911.6</v>
      </c>
      <c r="DO199" s="21">
        <f>righting/heeling</f>
        <v>0.72888590478026594</v>
      </c>
      <c r="DP199" s="62">
        <f>IF((1/DO199)^$DP$5&lt;1,1,(1/DO199)^$DP$5)</f>
        <v>1.0353983040604455</v>
      </c>
      <c r="DR199" s="107" t="str">
        <f t="shared" si="274"/>
        <v>yes</v>
      </c>
    </row>
    <row r="200" spans="1:137" x14ac:dyDescent="0.2">
      <c r="A200" s="53" t="s">
        <v>386</v>
      </c>
      <c r="B200" s="54">
        <v>2</v>
      </c>
      <c r="C200" s="92">
        <f>AI200*PowerFactor</f>
        <v>92.016359372771561</v>
      </c>
      <c r="D200" s="92">
        <f>AJ200*PowerFactor*IF(crew=1,1.01,1)</f>
        <v>87.608333542048101</v>
      </c>
      <c r="E200" s="92">
        <f>VLOOKUP(A200,[3]TRTOTAL!$A$7:$D$313,3,FALSE)</f>
        <v>92.049410138984413</v>
      </c>
      <c r="F200" s="92">
        <f>VLOOKUP(A200,[3]TRTOTAL!$A$7:$D$313,4,FALSE)</f>
        <v>87.639801017722348</v>
      </c>
      <c r="G200" s="92">
        <f t="shared" si="307"/>
        <v>-3.3050766212852523E-2</v>
      </c>
      <c r="H200" s="92">
        <f t="shared" si="308"/>
        <v>-3.146747567424768E-2</v>
      </c>
      <c r="I200" s="54">
        <v>6.2</v>
      </c>
      <c r="J200" s="56">
        <v>6.2</v>
      </c>
      <c r="K200" s="54">
        <v>3.2</v>
      </c>
      <c r="L200" s="57">
        <v>2</v>
      </c>
      <c r="M200" s="57">
        <v>0</v>
      </c>
      <c r="N200" s="57">
        <v>202</v>
      </c>
      <c r="O200" s="21" t="s">
        <v>604</v>
      </c>
      <c r="P200" s="24">
        <f>marea+areaMast+mssam+mareNoDet</f>
        <v>21.073333333333331</v>
      </c>
      <c r="Q200" s="24">
        <f t="shared" si="279"/>
        <v>10.45</v>
      </c>
      <c r="R200" s="24">
        <f t="shared" si="281"/>
        <v>4.9986033333333335</v>
      </c>
      <c r="S200" s="7">
        <v>10.45</v>
      </c>
      <c r="T200" s="21">
        <f>IF(gs_1,gs_1*0.94,VlgNoDetails)</f>
        <v>6.5141999999999998</v>
      </c>
      <c r="V200" s="24">
        <f t="shared" si="283"/>
        <v>2.42</v>
      </c>
      <c r="W200" s="24">
        <f>IF(circMast,circMast/2,0.16)+V200</f>
        <v>2.63</v>
      </c>
      <c r="X200" s="24">
        <f>msam/e^2</f>
        <v>3.0466442095929294</v>
      </c>
      <c r="Y200" s="25">
        <f t="shared" si="223"/>
        <v>1</v>
      </c>
      <c r="Z200" s="24">
        <f t="shared" ref="Z200:Z260" si="310">0.67*X200^0.3*msam*Y200</f>
        <v>19.722163798479396</v>
      </c>
      <c r="AA200" s="21">
        <f>IF(lpg,msag/lpg^2,0)</f>
        <v>2.198092636501582</v>
      </c>
      <c r="AB200" s="24">
        <f>IF(AA200,0.72*AA200^0.3*msag,IF(msag,0.9*msag,0))</f>
        <v>4.5582167041258304</v>
      </c>
      <c r="AC200" s="24">
        <f>rsam+rsag+IF(rsascr,rsascr-jibred*rsag,rsas-jibred*rsag)</f>
        <v>27.836917331068868</v>
      </c>
      <c r="AD200" s="58">
        <f>IF(wsex,wsex,wsin-6)+crew*(IF(AND(crew=1,msam+msag&gt;=11),75,IF(loa&lt;=4,65,IF(loa&lt;=4.8,70,75))))</f>
        <v>346</v>
      </c>
      <c r="AE200" s="58">
        <f>IF(wsin,wsin,wsex+6)+crew*(IF(AND(crew=1,msam+msag&gt;=11),75,IF(loa&lt;=4,65,IF(loa&lt;=4.8,70,75))))</f>
        <v>352</v>
      </c>
      <c r="AF200" s="21">
        <f>IF(sas,((sas)*0.15),IF(loa&lt;=4.87,IF(crew=1,14*0.15,17*0.15),IF(loa&lt;=5.8,IF(crew=1,17*0.15,21*0.15),IF(loa&lt;=6.71,IF(crew=1,20*0.15,25*0.15),0))))</f>
        <v>4.1491050000000005</v>
      </c>
      <c r="AG200" s="77">
        <f>IF(AND(ars&lt;0.75*(AND(ars&gt;0)),(sas/msam&gt;0.75)),(sas*(12/ars^1.1)*0.01),0)</f>
        <v>0</v>
      </c>
      <c r="AH200" s="114">
        <f t="shared" ref="AH200:AH263" si="311">IF(lb="no",1.04,(IF(lb="",1,(IF(lb="c",0.985,0.95)))))</f>
        <v>0.95</v>
      </c>
      <c r="AI200" s="59">
        <f>100/(1.15*rl^0.3*(rsam+rsag)^0.4/rwex^0.325)*corcb</f>
        <v>89.208409183464525</v>
      </c>
      <c r="AJ200" s="59">
        <f>100/(1.15*rl^0.3*rsa^0.4/rwin^0.325)*corcb</f>
        <v>84.934897661394672</v>
      </c>
      <c r="AK200" s="7">
        <v>10.45</v>
      </c>
      <c r="AL200" s="7">
        <v>2.42</v>
      </c>
      <c r="AM200" s="21">
        <f t="shared" si="289"/>
        <v>12.644499999999999</v>
      </c>
      <c r="AN200" s="7">
        <v>10.45</v>
      </c>
      <c r="AO200" s="7">
        <v>0.13</v>
      </c>
      <c r="AP200" s="21">
        <f t="shared" si="292"/>
        <v>0.90566666666666673</v>
      </c>
      <c r="AQ200" s="7">
        <v>0</v>
      </c>
      <c r="AR200" s="7">
        <v>2.42</v>
      </c>
      <c r="AS200" s="21">
        <f t="shared" si="293"/>
        <v>0</v>
      </c>
      <c r="AT200" s="7">
        <v>9.76</v>
      </c>
      <c r="AU200" s="7">
        <v>0.62</v>
      </c>
      <c r="AV200" s="21">
        <f t="shared" si="294"/>
        <v>3.0255999999999998</v>
      </c>
      <c r="AW200" s="7">
        <v>4.62</v>
      </c>
      <c r="AX200" s="7">
        <v>0.64</v>
      </c>
      <c r="AY200" s="21">
        <f t="shared" si="295"/>
        <v>1.4784000000000002</v>
      </c>
      <c r="AZ200" s="7">
        <v>4.84</v>
      </c>
      <c r="BA200" s="7">
        <v>0.02</v>
      </c>
      <c r="BB200" s="21">
        <f t="shared" si="296"/>
        <v>6.4533333333333331E-2</v>
      </c>
      <c r="BC200" s="7">
        <v>2.41</v>
      </c>
      <c r="BD200" s="7">
        <v>0.02</v>
      </c>
      <c r="BE200" s="21">
        <f t="shared" si="306"/>
        <v>3.213333333333334E-2</v>
      </c>
      <c r="BF200" s="7">
        <v>2.36</v>
      </c>
      <c r="BG200" s="7">
        <v>0.6</v>
      </c>
      <c r="BH200" s="21">
        <f t="shared" si="297"/>
        <v>0.70799999999999996</v>
      </c>
      <c r="BI200" s="7">
        <v>2</v>
      </c>
      <c r="BJ200" s="7">
        <v>1.4999999999999999E-2</v>
      </c>
      <c r="BK200" s="21">
        <f t="shared" si="298"/>
        <v>0.02</v>
      </c>
      <c r="BN200" s="21">
        <f t="shared" si="299"/>
        <v>0</v>
      </c>
      <c r="BQ200" s="21">
        <f t="shared" si="300"/>
        <v>0</v>
      </c>
      <c r="BS200" s="21">
        <f t="shared" si="301"/>
        <v>18.878833333333333</v>
      </c>
      <c r="BT200" s="56">
        <v>6.93</v>
      </c>
      <c r="BU200" s="96">
        <v>1.508</v>
      </c>
      <c r="BV200" s="21">
        <f>BT200*BU200*0.5</f>
        <v>5.2252200000000002</v>
      </c>
      <c r="BW200" s="77">
        <f>BT200-CF200</f>
        <v>6.93</v>
      </c>
      <c r="BX200" s="97">
        <v>-5.0000000000000001E-3</v>
      </c>
      <c r="BY200" s="21">
        <f>BW200*BX200*2/3</f>
        <v>-2.3099999999999999E-2</v>
      </c>
      <c r="BZ200" s="97">
        <v>6.55</v>
      </c>
      <c r="CA200" s="97">
        <v>-0.06</v>
      </c>
      <c r="CB200" s="21">
        <f>BZ200*CA200*2/3</f>
        <v>-0.26199999999999996</v>
      </c>
      <c r="CC200" s="98">
        <v>1.595</v>
      </c>
      <c r="CD200" s="98">
        <v>5.5E-2</v>
      </c>
      <c r="CE200" s="21">
        <f>CC200*CD200*2/3</f>
        <v>5.8483333333333332E-2</v>
      </c>
      <c r="CF200" s="21"/>
      <c r="CG200" s="21"/>
      <c r="CH200" s="21">
        <f>CF200*CG200*0.5</f>
        <v>0</v>
      </c>
      <c r="CI200" s="25">
        <f t="shared" ref="CI200:CI260" si="312">BV200+BY200+CB200+CE200+CH200+DG200</f>
        <v>4.9986033333333335</v>
      </c>
      <c r="CJ200" s="7">
        <v>0.42</v>
      </c>
      <c r="CK200" s="21">
        <f>MastLength*circMast*0.5</f>
        <v>2.1944999999999997</v>
      </c>
      <c r="CL200" s="11">
        <v>0</v>
      </c>
      <c r="CM200" s="11" t="s">
        <v>490</v>
      </c>
      <c r="CN200" s="12">
        <v>43623</v>
      </c>
      <c r="CO200" s="11" t="s">
        <v>385</v>
      </c>
      <c r="CP200" s="11">
        <v>0</v>
      </c>
      <c r="CQ200" s="11">
        <v>0</v>
      </c>
      <c r="CR200" s="11">
        <v>0</v>
      </c>
      <c r="CS200" s="11">
        <v>0</v>
      </c>
      <c r="CY200" s="21">
        <f t="shared" si="266"/>
        <v>0</v>
      </c>
      <c r="CZ200" s="13">
        <v>4.5</v>
      </c>
      <c r="DA200" s="13">
        <v>9.8000000000000007</v>
      </c>
      <c r="DB200" s="13">
        <v>8.6199999999999992</v>
      </c>
      <c r="DC200" s="13">
        <v>3.38</v>
      </c>
      <c r="DD200" s="61">
        <f t="shared" ref="DD200:DD260" si="313">IF(CZ200,DC200/CZ200,smg_sf_no_details)</f>
        <v>0.75111111111111106</v>
      </c>
      <c r="DE200" s="21">
        <f t="shared" ref="DE200:DE260" si="314">IF(CZ200,CZ200*(DA200+DB200)/4+(DC200-CZ200/2)*(DA200+DB200)/3,sas_no_details)</f>
        <v>27.660700000000002</v>
      </c>
      <c r="DF200" s="11">
        <v>0</v>
      </c>
      <c r="DG200" s="11">
        <v>0</v>
      </c>
      <c r="DI200" s="11">
        <v>0</v>
      </c>
      <c r="DM200" s="58">
        <f t="shared" si="273"/>
        <v>1250.6758520386206</v>
      </c>
      <c r="DN200" s="58">
        <f>IF(wsex,0.5*wsex*width+(rwex-wsex)*width+trapeze*(rwex-wsex)/crew,0.5*(wsin-6)*width+(rwin-wsin)*width+trapeze*(rwin-wsin)/crew)</f>
        <v>943.6</v>
      </c>
      <c r="DO200" s="21">
        <f>righting/heeling</f>
        <v>0.75447207081028844</v>
      </c>
      <c r="DP200" s="62">
        <f>IF((1/DO200)^$DP$5&lt;1,1,(1/DO200)^$DP$5)</f>
        <v>1.031476294835975</v>
      </c>
      <c r="DR200" s="107" t="str">
        <f t="shared" si="274"/>
        <v>yes</v>
      </c>
    </row>
    <row r="201" spans="1:137" ht="12.75" customHeight="1" x14ac:dyDescent="0.2">
      <c r="A201" s="53" t="s">
        <v>543</v>
      </c>
      <c r="B201" s="54">
        <v>2</v>
      </c>
      <c r="C201" s="92">
        <f>AI201*PowerFactor</f>
        <v>91.665910943263555</v>
      </c>
      <c r="D201" s="92">
        <f>AJ201*PowerFactor*IF(crew=1,1.01,1)</f>
        <v>87.157220500829013</v>
      </c>
      <c r="E201" s="92">
        <f>VLOOKUP(A201,[3]TRTOTAL!$A$7:$D$313,3,FALSE)</f>
        <v>91.699039100527315</v>
      </c>
      <c r="F201" s="92">
        <f>VLOOKUP(A201,[3]TRTOTAL!$A$7:$D$313,4,FALSE)</f>
        <v>87.18871921259344</v>
      </c>
      <c r="G201" s="92">
        <f t="shared" si="307"/>
        <v>-3.3128157263760727E-2</v>
      </c>
      <c r="H201" s="92">
        <f t="shared" si="308"/>
        <v>-3.1498711764427867E-2</v>
      </c>
      <c r="I201" s="54">
        <v>6.2</v>
      </c>
      <c r="J201" s="56">
        <v>6.2</v>
      </c>
      <c r="K201" s="54">
        <v>3.95</v>
      </c>
      <c r="L201" s="57">
        <v>2</v>
      </c>
      <c r="M201" s="57"/>
      <c r="N201" s="57">
        <v>217.6</v>
      </c>
      <c r="O201" s="21" t="s">
        <v>604</v>
      </c>
      <c r="P201" s="24">
        <f t="shared" si="280"/>
        <v>20.904499999999999</v>
      </c>
      <c r="Q201" s="24">
        <f t="shared" si="279"/>
        <v>10.45</v>
      </c>
      <c r="R201" s="24">
        <f>CI201</f>
        <v>4.88</v>
      </c>
      <c r="S201" s="87">
        <v>10.45</v>
      </c>
      <c r="T201" s="21">
        <f t="shared" si="282"/>
        <v>6.18</v>
      </c>
      <c r="U201" s="21"/>
      <c r="V201" s="24">
        <f>IF(e_sp,e_sp,(IF(mfoot,MAX(CU201:CX201),IF(mainh1,mainh1,vlm*0.3))))</f>
        <v>2.42</v>
      </c>
      <c r="W201" s="24">
        <f>IF(circMast,circMast/2,0.16)+V201</f>
        <v>2.63</v>
      </c>
      <c r="X201" s="24">
        <f t="shared" si="285"/>
        <v>3.0222353944686207</v>
      </c>
      <c r="Y201" s="25">
        <f t="shared" ref="Y201:Y265" si="315">IF(Decksweeper="yes",1,IF(mainh1,(mainh1/V201)^0.7,IF(mfoot&lt;CW201,(mfoot/CW201)^0.7,1)))</f>
        <v>1</v>
      </c>
      <c r="Z201" s="24">
        <f>0.67*X201^0.3*msam*Y201</f>
        <v>19.51700050508644</v>
      </c>
      <c r="AA201" s="21">
        <f t="shared" si="286"/>
        <v>0</v>
      </c>
      <c r="AB201" s="24">
        <f>IF(AA201,0.72*AA201^0.3*msag,IF(msag,0.9*msag,0))</f>
        <v>4.3920000000000003</v>
      </c>
      <c r="AC201" s="24">
        <f t="shared" si="225"/>
        <v>27.487145505086438</v>
      </c>
      <c r="AD201" s="58">
        <f t="shared" si="287"/>
        <v>361.6</v>
      </c>
      <c r="AE201" s="58">
        <f t="shared" si="288"/>
        <v>367.6</v>
      </c>
      <c r="AF201" s="21">
        <f t="shared" ref="AF201:AF260" si="316">IF(sas,((sas)*0.15),IF(loa&lt;=4.87,IF(crew=1,14*0.15,17*0.15),IF(loa&lt;=5.8,IF(crew=1,17*0.15,21*0.15),IF(loa&lt;=6.71,IF(crew=1,20*0.15,25*0.15),0))))</f>
        <v>4.1491050000000005</v>
      </c>
      <c r="AG201" s="77">
        <f t="shared" ref="AG201:AG260" si="317">IF(AND(ars&lt;0.75*(AND(ars&gt;0)),(sas/msam&gt;0.75)),(sas*(12/ars^1.1)*0.01),0)</f>
        <v>0</v>
      </c>
      <c r="AH201" s="114">
        <f t="shared" si="311"/>
        <v>0.95</v>
      </c>
      <c r="AI201" s="59">
        <f t="shared" ref="AI201:AI260" si="318">100/(1.15*rl^0.3*(rsam+rsag)^0.4/rwex^0.325)*corcb</f>
        <v>91.055865485910743</v>
      </c>
      <c r="AJ201" s="59">
        <f t="shared" ref="AJ201:AJ260" si="319">100/(1.15*rl^0.3*rsa^0.4/rwin^0.325)*corcb</f>
        <v>86.577180812193433</v>
      </c>
      <c r="AK201" s="55"/>
      <c r="AL201" s="55">
        <v>2.42</v>
      </c>
      <c r="AM201" s="21">
        <f>AK201*AL201*0.5</f>
        <v>0</v>
      </c>
      <c r="AN201" s="54">
        <v>10.45</v>
      </c>
      <c r="AO201" s="55"/>
      <c r="AP201" s="21">
        <f>AN201*AO201*2/3</f>
        <v>0</v>
      </c>
      <c r="AQ201" s="55"/>
      <c r="AR201" s="55">
        <v>0</v>
      </c>
      <c r="AS201" s="21">
        <f>AQ201*AR201*2/3</f>
        <v>0</v>
      </c>
      <c r="AT201" s="54"/>
      <c r="AU201" s="54"/>
      <c r="AV201" s="21">
        <f>AT201*AU201*0.5</f>
        <v>0</v>
      </c>
      <c r="AW201" s="54"/>
      <c r="AX201" s="54"/>
      <c r="AY201" s="21">
        <f>AW201*AX201*0.5</f>
        <v>0</v>
      </c>
      <c r="AZ201" s="54"/>
      <c r="BA201" s="54">
        <v>0</v>
      </c>
      <c r="BB201" s="21">
        <f>AZ201*BA201*2/3</f>
        <v>0</v>
      </c>
      <c r="BC201" s="54"/>
      <c r="BD201" s="54">
        <v>0</v>
      </c>
      <c r="BE201" s="21">
        <f>BC201*BD201*2/3</f>
        <v>0</v>
      </c>
      <c r="BF201" s="55"/>
      <c r="BG201" s="55"/>
      <c r="BH201" s="21">
        <f>BF201*BG201*0.5</f>
        <v>0</v>
      </c>
      <c r="BI201" s="55"/>
      <c r="BJ201" s="55"/>
      <c r="BK201" s="21">
        <f>BI201*BJ201*2/3</f>
        <v>0</v>
      </c>
      <c r="BL201" s="55">
        <v>0</v>
      </c>
      <c r="BM201" s="55">
        <v>0</v>
      </c>
      <c r="BN201" s="21">
        <f>BL201*BM201*0.5</f>
        <v>0</v>
      </c>
      <c r="BO201" s="55">
        <v>0</v>
      </c>
      <c r="BP201" s="55">
        <v>0</v>
      </c>
      <c r="BQ201" s="21">
        <f>BO201*BP201*0.5</f>
        <v>0</v>
      </c>
      <c r="BR201" s="55">
        <v>0</v>
      </c>
      <c r="BS201" s="21">
        <f>AM201+AP201+AS201+AV201+AY201+BB201+BE201+BH201+BK201+BN201+BQ201</f>
        <v>0</v>
      </c>
      <c r="BT201" s="56"/>
      <c r="BU201" s="56"/>
      <c r="BV201" s="21">
        <f>BT201*BU201*0.5</f>
        <v>0</v>
      </c>
      <c r="BW201" s="77">
        <f>BT201-CF201</f>
        <v>0</v>
      </c>
      <c r="BY201" s="21">
        <f>BW201*BX201*2/3</f>
        <v>0</v>
      </c>
      <c r="BZ201" s="55"/>
      <c r="CA201" s="55"/>
      <c r="CB201" s="21">
        <f>BZ201*CA201*2/3</f>
        <v>0</v>
      </c>
      <c r="CC201" s="54"/>
      <c r="CD201" s="54"/>
      <c r="CE201" s="21">
        <f>CC201*CD201*2/3</f>
        <v>0</v>
      </c>
      <c r="CF201" s="21"/>
      <c r="CG201" s="21"/>
      <c r="CH201" s="21">
        <f>CF201*CG201*0.5</f>
        <v>0</v>
      </c>
      <c r="CI201" s="25">
        <f>BV201+BY201+CB201+CE201+CH201+DG201</f>
        <v>4.88</v>
      </c>
      <c r="CJ201" s="54">
        <v>0.42</v>
      </c>
      <c r="CK201" s="21">
        <f t="shared" si="305"/>
        <v>2.1944999999999997</v>
      </c>
      <c r="CL201" s="55"/>
      <c r="CM201" s="55" t="s">
        <v>311</v>
      </c>
      <c r="CN201" s="60">
        <v>43251</v>
      </c>
      <c r="CO201" s="55" t="s">
        <v>226</v>
      </c>
      <c r="CP201" s="55">
        <v>0</v>
      </c>
      <c r="CQ201" s="55">
        <v>0</v>
      </c>
      <c r="CR201" s="55">
        <v>0</v>
      </c>
      <c r="CS201" s="55">
        <v>0</v>
      </c>
      <c r="CT201" s="55"/>
      <c r="CU201" s="55"/>
      <c r="CV201" s="55"/>
      <c r="CW201" s="55"/>
      <c r="CX201" s="55"/>
      <c r="CY201" s="21">
        <f>(CT201+4*CU201+2*CV201+4*CW201+CX201)*AN201/12</f>
        <v>0</v>
      </c>
      <c r="CZ201" s="13">
        <v>4.5</v>
      </c>
      <c r="DA201" s="13">
        <v>9.8000000000000007</v>
      </c>
      <c r="DB201" s="13">
        <v>8.6199999999999992</v>
      </c>
      <c r="DC201" s="13">
        <v>3.38</v>
      </c>
      <c r="DD201" s="61">
        <f>IF(CZ201,DC201/CZ201,smg_sf_no_details)</f>
        <v>0.75111111111111106</v>
      </c>
      <c r="DE201" s="21">
        <f>IF(CZ201,CZ201*(DA201+DB201)/4+(DC201-CZ201/2)*(DA201+DB201)/3,sas_no_details)</f>
        <v>27.660700000000002</v>
      </c>
      <c r="DF201" s="55">
        <v>18.71</v>
      </c>
      <c r="DG201" s="55">
        <v>4.88</v>
      </c>
      <c r="DH201" s="55">
        <v>6.18</v>
      </c>
      <c r="DI201" s="55"/>
      <c r="DJ201" s="104"/>
      <c r="DK201" s="53" t="s">
        <v>586</v>
      </c>
      <c r="DM201" s="58">
        <f t="shared" si="273"/>
        <v>1233.0323774495996</v>
      </c>
      <c r="DN201" s="58">
        <f t="shared" si="290"/>
        <v>1160.4100000000001</v>
      </c>
      <c r="DO201" s="21">
        <f t="shared" si="291"/>
        <v>0.94110261921928484</v>
      </c>
      <c r="DP201" s="62">
        <f>IF((1/DO201)^$DP$5&lt;1,1,(1/DO201)^$DP$5)</f>
        <v>1.0066996832559589</v>
      </c>
      <c r="DQ201" s="7"/>
      <c r="DR201" s="107" t="str">
        <f t="shared" si="274"/>
        <v>yes</v>
      </c>
    </row>
    <row r="202" spans="1:137" ht="12.75" customHeight="1" x14ac:dyDescent="0.2">
      <c r="A202" s="53" t="s">
        <v>387</v>
      </c>
      <c r="B202" s="54">
        <v>2</v>
      </c>
      <c r="C202" s="92">
        <f t="shared" ref="C202:C229" si="320">AI202*PowerFactor</f>
        <v>104.38083581564808</v>
      </c>
      <c r="D202" s="92">
        <f t="shared" ref="D202:D229" si="321">AJ202*PowerFactor*IF(crew=1,1.01,1)</f>
        <v>99.960418870354729</v>
      </c>
      <c r="E202" s="92">
        <f>VLOOKUP(A202,[3]TRTOTAL!$A$7:$D$313,3,FALSE)</f>
        <v>104.95771809188007</v>
      </c>
      <c r="F202" s="92">
        <f>VLOOKUP(A202,[3]TRTOTAL!$A$7:$D$313,4,FALSE)</f>
        <v>100.37014141528145</v>
      </c>
      <c r="G202" s="92">
        <f t="shared" si="307"/>
        <v>-0.57688227623198429</v>
      </c>
      <c r="H202" s="92">
        <f t="shared" si="308"/>
        <v>-0.40972254492672278</v>
      </c>
      <c r="I202" s="54">
        <v>5.52</v>
      </c>
      <c r="J202" s="56">
        <v>5.52</v>
      </c>
      <c r="K202" s="54">
        <v>2.6</v>
      </c>
      <c r="L202" s="57">
        <v>2</v>
      </c>
      <c r="M202" s="57"/>
      <c r="N202" s="57">
        <v>180</v>
      </c>
      <c r="O202" s="87"/>
      <c r="P202" s="24">
        <f t="shared" si="280"/>
        <v>17</v>
      </c>
      <c r="Q202" s="24">
        <f t="shared" si="279"/>
        <v>9.0500000000000007</v>
      </c>
      <c r="R202" s="24">
        <f t="shared" si="281"/>
        <v>4.3</v>
      </c>
      <c r="S202" s="87">
        <v>9.0500000000000007</v>
      </c>
      <c r="T202" s="21">
        <f t="shared" si="282"/>
        <v>5.73</v>
      </c>
      <c r="U202" s="21">
        <v>2.1</v>
      </c>
      <c r="V202" s="24">
        <f t="shared" si="283"/>
        <v>2.1</v>
      </c>
      <c r="W202" s="24">
        <f t="shared" si="284"/>
        <v>2.2600000000000002</v>
      </c>
      <c r="X202" s="24">
        <f t="shared" si="285"/>
        <v>3.3283734043386315</v>
      </c>
      <c r="Y202" s="25">
        <f t="shared" si="315"/>
        <v>1</v>
      </c>
      <c r="Z202" s="24">
        <f t="shared" si="310"/>
        <v>16.337791034816128</v>
      </c>
      <c r="AA202" s="21">
        <f t="shared" si="286"/>
        <v>0</v>
      </c>
      <c r="AB202" s="24">
        <f t="shared" ref="AB202:AB260" si="322">IF(AA202,0.72*AA202^0.3*msag,IF(msag,0.9*msag,0))</f>
        <v>3.87</v>
      </c>
      <c r="AC202" s="24">
        <f t="shared" si="225"/>
        <v>22.854691034816128</v>
      </c>
      <c r="AD202" s="58">
        <f t="shared" si="287"/>
        <v>324</v>
      </c>
      <c r="AE202" s="58">
        <f t="shared" si="288"/>
        <v>330</v>
      </c>
      <c r="AF202" s="21">
        <f t="shared" si="316"/>
        <v>3.15</v>
      </c>
      <c r="AG202" s="77">
        <f t="shared" si="317"/>
        <v>0</v>
      </c>
      <c r="AH202" s="114">
        <f t="shared" si="311"/>
        <v>1</v>
      </c>
      <c r="AI202" s="59">
        <f t="shared" si="318"/>
        <v>102.43303194979761</v>
      </c>
      <c r="AJ202" s="59">
        <f t="shared" si="319"/>
        <v>98.095102418476685</v>
      </c>
      <c r="AK202" s="55"/>
      <c r="AL202" s="55"/>
      <c r="AM202" s="21">
        <f t="shared" si="289"/>
        <v>0</v>
      </c>
      <c r="AN202" s="54">
        <v>9.0500000000000007</v>
      </c>
      <c r="AO202" s="55"/>
      <c r="AP202" s="21">
        <f t="shared" si="292"/>
        <v>0</v>
      </c>
      <c r="AQ202" s="55"/>
      <c r="AR202" s="55"/>
      <c r="AS202" s="21">
        <f t="shared" si="293"/>
        <v>0</v>
      </c>
      <c r="AT202" s="54"/>
      <c r="AU202" s="54"/>
      <c r="AV202" s="21">
        <f t="shared" si="294"/>
        <v>0</v>
      </c>
      <c r="AW202" s="54"/>
      <c r="AX202" s="54"/>
      <c r="AY202" s="21">
        <f t="shared" si="295"/>
        <v>0</v>
      </c>
      <c r="AZ202" s="54"/>
      <c r="BA202" s="54"/>
      <c r="BB202" s="21">
        <f t="shared" si="296"/>
        <v>0</v>
      </c>
      <c r="BC202" s="54"/>
      <c r="BD202" s="54"/>
      <c r="BE202" s="21">
        <f t="shared" si="306"/>
        <v>0</v>
      </c>
      <c r="BF202" s="55"/>
      <c r="BG202" s="55"/>
      <c r="BH202" s="21">
        <f t="shared" si="297"/>
        <v>0</v>
      </c>
      <c r="BI202" s="55"/>
      <c r="BJ202" s="55"/>
      <c r="BK202" s="21">
        <f t="shared" si="298"/>
        <v>0</v>
      </c>
      <c r="BL202" s="55"/>
      <c r="BM202" s="55"/>
      <c r="BN202" s="21">
        <f t="shared" si="299"/>
        <v>0</v>
      </c>
      <c r="BO202" s="55"/>
      <c r="BP202" s="55"/>
      <c r="BQ202" s="21">
        <f t="shared" si="300"/>
        <v>0</v>
      </c>
      <c r="BR202" s="55"/>
      <c r="BS202" s="21">
        <f t="shared" si="301"/>
        <v>0</v>
      </c>
      <c r="BT202" s="56">
        <v>0</v>
      </c>
      <c r="BU202" s="56"/>
      <c r="BV202" s="21">
        <f t="shared" si="302"/>
        <v>0</v>
      </c>
      <c r="BW202" s="77">
        <f t="shared" ref="BW202:BW261" si="323">BT202-CF202</f>
        <v>0</v>
      </c>
      <c r="BX202" s="55"/>
      <c r="BY202" s="21">
        <f t="shared" si="303"/>
        <v>0</v>
      </c>
      <c r="BZ202" s="55"/>
      <c r="CA202" s="55"/>
      <c r="CB202" s="21">
        <f t="shared" si="309"/>
        <v>0</v>
      </c>
      <c r="CC202" s="55"/>
      <c r="CD202" s="55"/>
      <c r="CE202" s="21">
        <f t="shared" si="304"/>
        <v>0</v>
      </c>
      <c r="CF202" s="21"/>
      <c r="CG202" s="21"/>
      <c r="CH202" s="21">
        <f t="shared" ref="CH202:CH260" si="324">CF202*CG202*0.5</f>
        <v>0</v>
      </c>
      <c r="CI202" s="25">
        <f t="shared" si="312"/>
        <v>4.3</v>
      </c>
      <c r="CJ202" s="54"/>
      <c r="CK202" s="21">
        <f t="shared" si="305"/>
        <v>0</v>
      </c>
      <c r="CL202" s="55"/>
      <c r="CM202" s="55"/>
      <c r="CN202" s="60"/>
      <c r="CO202" s="55"/>
      <c r="CP202" s="55"/>
      <c r="CQ202" s="55"/>
      <c r="CR202" s="55"/>
      <c r="CS202" s="55"/>
      <c r="CT202" s="55"/>
      <c r="CU202" s="55"/>
      <c r="CV202" s="55"/>
      <c r="CW202" s="55"/>
      <c r="CX202" s="55"/>
      <c r="CY202" s="21">
        <f t="shared" si="266"/>
        <v>0</v>
      </c>
      <c r="CZ202" s="56"/>
      <c r="DA202" s="56"/>
      <c r="DB202" s="56"/>
      <c r="DC202" s="56"/>
      <c r="DD202" s="61">
        <f t="shared" si="313"/>
        <v>0</v>
      </c>
      <c r="DE202" s="21">
        <f t="shared" si="314"/>
        <v>21</v>
      </c>
      <c r="DF202" s="55">
        <v>17</v>
      </c>
      <c r="DG202" s="55">
        <v>4.3</v>
      </c>
      <c r="DH202" s="55">
        <v>5.73</v>
      </c>
      <c r="DI202" s="55">
        <v>21</v>
      </c>
      <c r="DJ202" s="104"/>
      <c r="DK202" s="53" t="s">
        <v>169</v>
      </c>
      <c r="DM202" s="58">
        <f t="shared" si="273"/>
        <v>909.31118396160002</v>
      </c>
      <c r="DN202" s="58">
        <f t="shared" si="290"/>
        <v>766.2</v>
      </c>
      <c r="DO202" s="21">
        <f t="shared" si="291"/>
        <v>0.84261583219717273</v>
      </c>
      <c r="DP202" s="62">
        <f t="shared" si="268"/>
        <v>1.0190153881885005</v>
      </c>
      <c r="DQ202" s="7" t="s">
        <v>130</v>
      </c>
      <c r="DR202" s="107" t="str">
        <f t="shared" si="274"/>
        <v>yes</v>
      </c>
    </row>
    <row r="203" spans="1:137" ht="12.75" customHeight="1" x14ac:dyDescent="0.2">
      <c r="A203" s="53" t="s">
        <v>389</v>
      </c>
      <c r="B203" s="54">
        <v>2</v>
      </c>
      <c r="C203" s="92">
        <f t="shared" si="320"/>
        <v>112.74681079633358</v>
      </c>
      <c r="D203" s="92">
        <f t="shared" si="321"/>
        <v>107.1210598872658</v>
      </c>
      <c r="E203" s="92">
        <f>VLOOKUP(A203,[3]TRTOTAL!$A$7:$D$313,3,FALSE)</f>
        <v>112.74681079633358</v>
      </c>
      <c r="F203" s="92">
        <f>VLOOKUP(A203,[3]TRTOTAL!$A$7:$D$313,4,FALSE)</f>
        <v>107.1210598872658</v>
      </c>
      <c r="G203" s="92">
        <f t="shared" si="307"/>
        <v>0</v>
      </c>
      <c r="H203" s="92">
        <f t="shared" si="308"/>
        <v>0</v>
      </c>
      <c r="I203" s="54">
        <v>5.22</v>
      </c>
      <c r="J203" s="56">
        <v>5.22</v>
      </c>
      <c r="K203" s="54">
        <v>2.5</v>
      </c>
      <c r="L203" s="57">
        <v>2</v>
      </c>
      <c r="M203" s="57">
        <v>158</v>
      </c>
      <c r="N203" s="57"/>
      <c r="O203" s="87"/>
      <c r="P203" s="24">
        <f t="shared" si="280"/>
        <v>13.74934166666667</v>
      </c>
      <c r="Q203" s="24">
        <f t="shared" si="279"/>
        <v>8.15</v>
      </c>
      <c r="R203" s="24">
        <f t="shared" si="281"/>
        <v>3.4467666666666665</v>
      </c>
      <c r="S203" s="87">
        <v>8.6</v>
      </c>
      <c r="T203" s="21">
        <f t="shared" si="282"/>
        <v>5.1793999999999993</v>
      </c>
      <c r="U203" s="21"/>
      <c r="V203" s="24">
        <f t="shared" si="283"/>
        <v>1.9550000000000001</v>
      </c>
      <c r="W203" s="24">
        <f t="shared" si="284"/>
        <v>2.1175000000000002</v>
      </c>
      <c r="X203" s="24">
        <f t="shared" si="285"/>
        <v>3.0664441994269196</v>
      </c>
      <c r="Y203" s="25">
        <f t="shared" si="315"/>
        <v>1</v>
      </c>
      <c r="Z203" s="24">
        <f t="shared" si="310"/>
        <v>12.89279943650161</v>
      </c>
      <c r="AA203" s="21">
        <f t="shared" si="286"/>
        <v>1.9195626345882524</v>
      </c>
      <c r="AB203" s="24">
        <f t="shared" si="322"/>
        <v>3.0179015420566793</v>
      </c>
      <c r="AC203" s="24">
        <f t="shared" si="225"/>
        <v>18.36837377809092</v>
      </c>
      <c r="AD203" s="58">
        <f t="shared" si="287"/>
        <v>308</v>
      </c>
      <c r="AE203" s="58">
        <f t="shared" si="288"/>
        <v>314</v>
      </c>
      <c r="AF203" s="21">
        <f t="shared" si="316"/>
        <v>2.85</v>
      </c>
      <c r="AG203" s="77">
        <f t="shared" si="317"/>
        <v>0</v>
      </c>
      <c r="AH203" s="114">
        <f t="shared" si="311"/>
        <v>1</v>
      </c>
      <c r="AI203" s="59">
        <f t="shared" si="318"/>
        <v>112.74681079633358</v>
      </c>
      <c r="AJ203" s="59">
        <f t="shared" si="319"/>
        <v>107.1210598872658</v>
      </c>
      <c r="AK203" s="55">
        <v>8.15</v>
      </c>
      <c r="AL203" s="55">
        <v>1.9550000000000001</v>
      </c>
      <c r="AM203" s="21">
        <f t="shared" si="289"/>
        <v>7.9666250000000005</v>
      </c>
      <c r="AN203" s="54">
        <v>8.15</v>
      </c>
      <c r="AO203" s="55">
        <v>0.13500000000000001</v>
      </c>
      <c r="AP203" s="21">
        <f t="shared" si="292"/>
        <v>0.73350000000000015</v>
      </c>
      <c r="AQ203" s="55"/>
      <c r="AR203" s="55"/>
      <c r="AS203" s="21">
        <f t="shared" si="293"/>
        <v>0</v>
      </c>
      <c r="AT203" s="54">
        <v>7.92</v>
      </c>
      <c r="AU203" s="54">
        <v>0.52</v>
      </c>
      <c r="AV203" s="21">
        <f t="shared" si="294"/>
        <v>2.0592000000000001</v>
      </c>
      <c r="AW203" s="54">
        <v>4.29</v>
      </c>
      <c r="AX203" s="54">
        <v>0.41</v>
      </c>
      <c r="AY203" s="21">
        <f t="shared" si="295"/>
        <v>0.87944999999999995</v>
      </c>
      <c r="AZ203" s="54">
        <v>3.7</v>
      </c>
      <c r="BA203" s="54">
        <v>3.5000000000000003E-2</v>
      </c>
      <c r="BB203" s="21">
        <f t="shared" si="296"/>
        <v>8.6333333333333359E-2</v>
      </c>
      <c r="BC203" s="54">
        <v>2.08</v>
      </c>
      <c r="BD203" s="54">
        <v>0.02</v>
      </c>
      <c r="BE203" s="21">
        <f t="shared" si="306"/>
        <v>2.7733333333333336E-2</v>
      </c>
      <c r="BF203" s="55">
        <v>2.29</v>
      </c>
      <c r="BG203" s="55">
        <v>0.44</v>
      </c>
      <c r="BH203" s="21">
        <f t="shared" si="297"/>
        <v>0.50380000000000003</v>
      </c>
      <c r="BI203" s="55">
        <v>2.04</v>
      </c>
      <c r="BJ203" s="55">
        <v>7.0000000000000007E-2</v>
      </c>
      <c r="BK203" s="21">
        <f t="shared" si="298"/>
        <v>9.5200000000000007E-2</v>
      </c>
      <c r="BL203" s="55"/>
      <c r="BM203" s="55"/>
      <c r="BN203" s="21">
        <f t="shared" si="299"/>
        <v>0</v>
      </c>
      <c r="BO203" s="55"/>
      <c r="BP203" s="55"/>
      <c r="BQ203" s="21">
        <f t="shared" si="300"/>
        <v>0</v>
      </c>
      <c r="BR203" s="55"/>
      <c r="BS203" s="21">
        <f t="shared" si="301"/>
        <v>12.351841666666669</v>
      </c>
      <c r="BT203" s="56">
        <v>5.51</v>
      </c>
      <c r="BU203" s="56">
        <v>1.34</v>
      </c>
      <c r="BV203" s="21">
        <f t="shared" si="302"/>
        <v>3.6917</v>
      </c>
      <c r="BW203" s="77">
        <f t="shared" si="323"/>
        <v>5.51</v>
      </c>
      <c r="BX203" s="55"/>
      <c r="BY203" s="21">
        <f t="shared" si="303"/>
        <v>0</v>
      </c>
      <c r="BZ203" s="55">
        <v>1.34</v>
      </c>
      <c r="CA203" s="55">
        <v>0.01</v>
      </c>
      <c r="CB203" s="21">
        <f t="shared" si="309"/>
        <v>8.9333333333333331E-3</v>
      </c>
      <c r="CC203" s="54">
        <v>5.44</v>
      </c>
      <c r="CD203" s="54">
        <v>-7.0000000000000007E-2</v>
      </c>
      <c r="CE203" s="21">
        <f t="shared" si="304"/>
        <v>-0.25386666666666674</v>
      </c>
      <c r="CF203" s="21"/>
      <c r="CG203" s="21"/>
      <c r="CH203" s="21">
        <f t="shared" si="324"/>
        <v>0</v>
      </c>
      <c r="CI203" s="25">
        <f t="shared" si="312"/>
        <v>3.4467666666666665</v>
      </c>
      <c r="CJ203" s="54">
        <v>0.32500000000000001</v>
      </c>
      <c r="CK203" s="21">
        <f t="shared" si="305"/>
        <v>1.3975</v>
      </c>
      <c r="CL203" s="55">
        <v>24</v>
      </c>
      <c r="CM203" s="55"/>
      <c r="CN203" s="60">
        <v>36306</v>
      </c>
      <c r="CO203" s="55" t="s">
        <v>388</v>
      </c>
      <c r="CP203" s="55"/>
      <c r="CQ203" s="55"/>
      <c r="CR203" s="55"/>
      <c r="CS203" s="55"/>
      <c r="CT203" s="55"/>
      <c r="CU203" s="55"/>
      <c r="CV203" s="55"/>
      <c r="CW203" s="55"/>
      <c r="CX203" s="55"/>
      <c r="CY203" s="21">
        <f t="shared" si="266"/>
        <v>0</v>
      </c>
      <c r="CZ203" s="56"/>
      <c r="DA203" s="56"/>
      <c r="DB203" s="56"/>
      <c r="DC203" s="56"/>
      <c r="DD203" s="61">
        <f t="shared" si="313"/>
        <v>0</v>
      </c>
      <c r="DE203" s="21">
        <f t="shared" si="314"/>
        <v>19</v>
      </c>
      <c r="DF203" s="55"/>
      <c r="DG203" s="55"/>
      <c r="DH203" s="55"/>
      <c r="DI203" s="55">
        <v>19</v>
      </c>
      <c r="DJ203" s="104"/>
      <c r="DK203" s="53"/>
      <c r="DM203" s="58">
        <f t="shared" si="273"/>
        <v>680.72601266101924</v>
      </c>
      <c r="DN203" s="58">
        <f t="shared" si="290"/>
        <v>722.5</v>
      </c>
      <c r="DO203" s="21">
        <f t="shared" si="291"/>
        <v>1.0613668150798035</v>
      </c>
      <c r="DP203" s="62">
        <f t="shared" si="268"/>
        <v>1</v>
      </c>
      <c r="DQ203" s="7">
        <v>0</v>
      </c>
      <c r="DR203" s="107">
        <f t="shared" si="274"/>
        <v>0</v>
      </c>
    </row>
    <row r="204" spans="1:137" ht="12.75" customHeight="1" x14ac:dyDescent="0.2">
      <c r="A204" s="53" t="s">
        <v>505</v>
      </c>
      <c r="B204" s="54">
        <v>1</v>
      </c>
      <c r="C204" s="92">
        <f t="shared" si="320"/>
        <v>107.5076959066692</v>
      </c>
      <c r="D204" s="92">
        <f t="shared" si="321"/>
        <v>103.37059442944067</v>
      </c>
      <c r="E204" s="92">
        <f>VLOOKUP(A204,[3]TRTOTAL!$A$7:$D$313,3,FALSE)</f>
        <v>107.5076959066692</v>
      </c>
      <c r="F204" s="92">
        <f>VLOOKUP(A204,[3]TRTOTAL!$A$7:$D$313,4,FALSE)</f>
        <v>103.37059442944067</v>
      </c>
      <c r="G204" s="92">
        <f t="shared" si="307"/>
        <v>0</v>
      </c>
      <c r="H204" s="92">
        <f t="shared" si="308"/>
        <v>0</v>
      </c>
      <c r="I204" s="54">
        <v>5.22</v>
      </c>
      <c r="J204" s="56">
        <v>5.22</v>
      </c>
      <c r="K204" s="54">
        <v>2.5</v>
      </c>
      <c r="L204" s="57">
        <v>1</v>
      </c>
      <c r="M204" s="57">
        <v>158</v>
      </c>
      <c r="N204" s="57"/>
      <c r="O204" s="87"/>
      <c r="P204" s="24">
        <f t="shared" si="280"/>
        <v>13.74934166666667</v>
      </c>
      <c r="Q204" s="24">
        <f t="shared" si="279"/>
        <v>8.15</v>
      </c>
      <c r="R204" s="24">
        <f t="shared" si="281"/>
        <v>3.4467666666666665</v>
      </c>
      <c r="S204" s="87">
        <v>8.6</v>
      </c>
      <c r="T204" s="21">
        <f t="shared" si="282"/>
        <v>5.1793999999999993</v>
      </c>
      <c r="U204" s="21"/>
      <c r="V204" s="24">
        <f t="shared" si="283"/>
        <v>1.9550000000000001</v>
      </c>
      <c r="W204" s="24">
        <f t="shared" si="284"/>
        <v>2.1175000000000002</v>
      </c>
      <c r="X204" s="24">
        <f t="shared" si="285"/>
        <v>3.0664441994269196</v>
      </c>
      <c r="Y204" s="25">
        <f t="shared" si="315"/>
        <v>1</v>
      </c>
      <c r="Z204" s="24">
        <f t="shared" si="310"/>
        <v>12.89279943650161</v>
      </c>
      <c r="AA204" s="21">
        <f t="shared" si="286"/>
        <v>1.9195626345882524</v>
      </c>
      <c r="AB204" s="24">
        <f t="shared" si="322"/>
        <v>3.0179015420566793</v>
      </c>
      <c r="AC204" s="24">
        <f t="shared" si="225"/>
        <v>18.36837377809092</v>
      </c>
      <c r="AD204" s="58">
        <f t="shared" si="287"/>
        <v>233</v>
      </c>
      <c r="AE204" s="58">
        <f t="shared" si="288"/>
        <v>239</v>
      </c>
      <c r="AF204" s="21">
        <f t="shared" si="316"/>
        <v>2.85</v>
      </c>
      <c r="AG204" s="77">
        <f t="shared" si="317"/>
        <v>0</v>
      </c>
      <c r="AH204" s="114">
        <f t="shared" si="311"/>
        <v>1</v>
      </c>
      <c r="AI204" s="59">
        <f t="shared" si="318"/>
        <v>102.97124353876129</v>
      </c>
      <c r="AJ204" s="59">
        <f t="shared" si="319"/>
        <v>98.02842912201325</v>
      </c>
      <c r="AK204" s="55">
        <v>8.15</v>
      </c>
      <c r="AL204" s="55">
        <v>1.9550000000000001</v>
      </c>
      <c r="AM204" s="21">
        <f t="shared" si="289"/>
        <v>7.9666250000000005</v>
      </c>
      <c r="AN204" s="54">
        <v>8.15</v>
      </c>
      <c r="AO204" s="55">
        <v>0.13500000000000001</v>
      </c>
      <c r="AP204" s="21">
        <f t="shared" si="292"/>
        <v>0.73350000000000015</v>
      </c>
      <c r="AQ204" s="55"/>
      <c r="AR204" s="55"/>
      <c r="AS204" s="21">
        <f t="shared" si="293"/>
        <v>0</v>
      </c>
      <c r="AT204" s="54">
        <v>7.92</v>
      </c>
      <c r="AU204" s="54">
        <v>0.52</v>
      </c>
      <c r="AV204" s="21">
        <f t="shared" si="294"/>
        <v>2.0592000000000001</v>
      </c>
      <c r="AW204" s="54">
        <v>4.29</v>
      </c>
      <c r="AX204" s="54">
        <v>0.41</v>
      </c>
      <c r="AY204" s="21">
        <f t="shared" si="295"/>
        <v>0.87944999999999995</v>
      </c>
      <c r="AZ204" s="54">
        <v>3.7</v>
      </c>
      <c r="BA204" s="54">
        <v>3.5000000000000003E-2</v>
      </c>
      <c r="BB204" s="21">
        <f t="shared" si="296"/>
        <v>8.6333333333333359E-2</v>
      </c>
      <c r="BC204" s="54">
        <v>2.08</v>
      </c>
      <c r="BD204" s="54">
        <v>0.02</v>
      </c>
      <c r="BE204" s="21">
        <f t="shared" si="306"/>
        <v>2.7733333333333336E-2</v>
      </c>
      <c r="BF204" s="55">
        <v>2.29</v>
      </c>
      <c r="BG204" s="55">
        <v>0.44</v>
      </c>
      <c r="BH204" s="21">
        <f t="shared" si="297"/>
        <v>0.50380000000000003</v>
      </c>
      <c r="BI204" s="55">
        <v>2.04</v>
      </c>
      <c r="BJ204" s="55">
        <v>7.0000000000000007E-2</v>
      </c>
      <c r="BK204" s="21">
        <f t="shared" si="298"/>
        <v>9.5200000000000007E-2</v>
      </c>
      <c r="BL204" s="55"/>
      <c r="BM204" s="55"/>
      <c r="BN204" s="21">
        <f t="shared" si="299"/>
        <v>0</v>
      </c>
      <c r="BO204" s="55"/>
      <c r="BP204" s="55"/>
      <c r="BQ204" s="21">
        <f t="shared" si="300"/>
        <v>0</v>
      </c>
      <c r="BR204" s="55"/>
      <c r="BS204" s="21">
        <f t="shared" si="301"/>
        <v>12.351841666666669</v>
      </c>
      <c r="BT204" s="56">
        <v>5.51</v>
      </c>
      <c r="BU204" s="56">
        <v>1.34</v>
      </c>
      <c r="BV204" s="21">
        <f t="shared" si="302"/>
        <v>3.6917</v>
      </c>
      <c r="BW204" s="77">
        <f t="shared" si="323"/>
        <v>5.51</v>
      </c>
      <c r="BX204" s="55"/>
      <c r="BY204" s="21">
        <f t="shared" si="303"/>
        <v>0</v>
      </c>
      <c r="BZ204" s="55">
        <v>1.34</v>
      </c>
      <c r="CA204" s="55">
        <v>0.01</v>
      </c>
      <c r="CB204" s="21">
        <f t="shared" si="309"/>
        <v>8.9333333333333331E-3</v>
      </c>
      <c r="CC204" s="55">
        <v>5.44</v>
      </c>
      <c r="CD204" s="55">
        <v>-7.0000000000000007E-2</v>
      </c>
      <c r="CE204" s="21">
        <f t="shared" si="304"/>
        <v>-0.25386666666666674</v>
      </c>
      <c r="CF204" s="21"/>
      <c r="CG204" s="21"/>
      <c r="CH204" s="21">
        <f t="shared" si="324"/>
        <v>0</v>
      </c>
      <c r="CI204" s="25">
        <f t="shared" si="312"/>
        <v>3.4467666666666665</v>
      </c>
      <c r="CJ204" s="54">
        <v>0.32500000000000001</v>
      </c>
      <c r="CK204" s="21">
        <f t="shared" si="305"/>
        <v>1.3975</v>
      </c>
      <c r="CL204" s="55">
        <v>24</v>
      </c>
      <c r="CM204" s="55"/>
      <c r="CN204" s="60">
        <v>36306</v>
      </c>
      <c r="CO204" s="55" t="s">
        <v>388</v>
      </c>
      <c r="CP204" s="55"/>
      <c r="CQ204" s="55"/>
      <c r="CR204" s="55"/>
      <c r="CS204" s="55"/>
      <c r="CT204" s="55"/>
      <c r="CU204" s="55"/>
      <c r="CV204" s="55"/>
      <c r="CW204" s="55"/>
      <c r="CX204" s="55"/>
      <c r="CY204" s="21">
        <f t="shared" si="266"/>
        <v>0</v>
      </c>
      <c r="CZ204" s="56"/>
      <c r="DA204" s="56"/>
      <c r="DB204" s="56"/>
      <c r="DC204" s="56"/>
      <c r="DD204" s="61">
        <f t="shared" si="313"/>
        <v>0</v>
      </c>
      <c r="DE204" s="21">
        <f t="shared" si="314"/>
        <v>19</v>
      </c>
      <c r="DF204" s="55"/>
      <c r="DG204" s="55"/>
      <c r="DH204" s="55"/>
      <c r="DI204" s="55">
        <v>19</v>
      </c>
      <c r="DJ204" s="104"/>
      <c r="DK204" s="53"/>
      <c r="DM204" s="58">
        <f t="shared" si="273"/>
        <v>680.72601266101924</v>
      </c>
      <c r="DN204" s="58">
        <f t="shared" si="290"/>
        <v>460</v>
      </c>
      <c r="DO204" s="21">
        <f t="shared" si="291"/>
        <v>0.67574911409925209</v>
      </c>
      <c r="DP204" s="62">
        <f t="shared" si="268"/>
        <v>1.0440555266888689</v>
      </c>
      <c r="DQ204" s="7">
        <v>0</v>
      </c>
      <c r="DR204" s="107">
        <f t="shared" si="274"/>
        <v>0</v>
      </c>
    </row>
    <row r="205" spans="1:137" ht="12.75" customHeight="1" x14ac:dyDescent="0.2">
      <c r="A205" s="53" t="s">
        <v>390</v>
      </c>
      <c r="B205" s="54">
        <v>1</v>
      </c>
      <c r="C205" s="92">
        <f t="shared" si="320"/>
        <v>108.59435201665575</v>
      </c>
      <c r="D205" s="92">
        <f t="shared" si="321"/>
        <v>103.40438128592004</v>
      </c>
      <c r="E205" s="92">
        <f>VLOOKUP(A205,[3]TRTOTAL!$A$7:$D$313,3,FALSE)</f>
        <v>108.59435201665575</v>
      </c>
      <c r="F205" s="92">
        <f>VLOOKUP(A205,[3]TRTOTAL!$A$7:$D$313,4,FALSE)</f>
        <v>103.40438128592004</v>
      </c>
      <c r="G205" s="92">
        <f t="shared" si="307"/>
        <v>0</v>
      </c>
      <c r="H205" s="92">
        <f t="shared" si="308"/>
        <v>0</v>
      </c>
      <c r="I205" s="54">
        <v>5.22</v>
      </c>
      <c r="J205" s="56">
        <v>5.22</v>
      </c>
      <c r="K205" s="54">
        <v>2.5</v>
      </c>
      <c r="L205" s="57">
        <v>1</v>
      </c>
      <c r="M205" s="57">
        <v>150.5</v>
      </c>
      <c r="N205" s="57"/>
      <c r="O205" s="87"/>
      <c r="P205" s="24">
        <f t="shared" si="280"/>
        <v>16.51468333333333</v>
      </c>
      <c r="Q205" s="24">
        <f t="shared" si="279"/>
        <v>8.5299999999999994</v>
      </c>
      <c r="R205" s="24">
        <f t="shared" si="281"/>
        <v>0</v>
      </c>
      <c r="S205" s="87">
        <v>9</v>
      </c>
      <c r="T205" s="21">
        <f t="shared" si="282"/>
        <v>0</v>
      </c>
      <c r="U205" s="21"/>
      <c r="V205" s="24">
        <f t="shared" si="283"/>
        <v>2.145</v>
      </c>
      <c r="W205" s="24">
        <f t="shared" si="284"/>
        <v>2.3134999999999999</v>
      </c>
      <c r="X205" s="24">
        <f t="shared" si="285"/>
        <v>3.0855404408714309</v>
      </c>
      <c r="Y205" s="25">
        <f t="shared" si="315"/>
        <v>1</v>
      </c>
      <c r="Z205" s="24">
        <f t="shared" si="310"/>
        <v>15.514737291476555</v>
      </c>
      <c r="AA205" s="21">
        <f t="shared" si="286"/>
        <v>0</v>
      </c>
      <c r="AB205" s="24">
        <f t="shared" si="322"/>
        <v>0</v>
      </c>
      <c r="AC205" s="24">
        <f t="shared" si="225"/>
        <v>18.364737291476555</v>
      </c>
      <c r="AD205" s="58">
        <f t="shared" si="287"/>
        <v>225.5</v>
      </c>
      <c r="AE205" s="58">
        <f t="shared" si="288"/>
        <v>231.5</v>
      </c>
      <c r="AF205" s="21">
        <f t="shared" si="316"/>
        <v>2.85</v>
      </c>
      <c r="AG205" s="77">
        <f t="shared" si="317"/>
        <v>0</v>
      </c>
      <c r="AH205" s="114">
        <f t="shared" si="311"/>
        <v>1</v>
      </c>
      <c r="AI205" s="59">
        <f t="shared" si="318"/>
        <v>102.91433350480307</v>
      </c>
      <c r="AJ205" s="59">
        <f t="shared" si="319"/>
        <v>97.02556807885594</v>
      </c>
      <c r="AK205" s="55">
        <v>8.5299999999999994</v>
      </c>
      <c r="AL205" s="55">
        <v>2.145</v>
      </c>
      <c r="AM205" s="21">
        <f t="shared" si="289"/>
        <v>9.1484249999999996</v>
      </c>
      <c r="AN205" s="54">
        <v>8.5299999999999994</v>
      </c>
      <c r="AO205" s="55">
        <v>0.1</v>
      </c>
      <c r="AP205" s="21">
        <f t="shared" si="292"/>
        <v>0.56866666666666665</v>
      </c>
      <c r="AQ205" s="55"/>
      <c r="AR205" s="55"/>
      <c r="AS205" s="21">
        <f t="shared" si="293"/>
        <v>0</v>
      </c>
      <c r="AT205" s="54">
        <v>8.39</v>
      </c>
      <c r="AU205" s="54">
        <v>0.83499999999999996</v>
      </c>
      <c r="AV205" s="21">
        <f t="shared" si="294"/>
        <v>3.5028250000000001</v>
      </c>
      <c r="AW205" s="54">
        <v>1.82</v>
      </c>
      <c r="AX205" s="54">
        <v>0.42</v>
      </c>
      <c r="AY205" s="21">
        <f t="shared" si="295"/>
        <v>0.38219999999999998</v>
      </c>
      <c r="AZ205" s="54">
        <v>6.8250000000000002</v>
      </c>
      <c r="BA205" s="54">
        <v>0.16</v>
      </c>
      <c r="BB205" s="21">
        <f t="shared" si="296"/>
        <v>0.72800000000000009</v>
      </c>
      <c r="BC205" s="54">
        <v>1.48</v>
      </c>
      <c r="BD205" s="54">
        <v>7.0000000000000007E-2</v>
      </c>
      <c r="BE205" s="21">
        <f t="shared" si="306"/>
        <v>6.9066666666666679E-2</v>
      </c>
      <c r="BF205" s="55">
        <v>2.29</v>
      </c>
      <c r="BG205" s="55">
        <v>0.44</v>
      </c>
      <c r="BH205" s="21">
        <f t="shared" si="297"/>
        <v>0.50380000000000003</v>
      </c>
      <c r="BI205" s="55">
        <v>2.04</v>
      </c>
      <c r="BJ205" s="55">
        <v>7.0000000000000007E-2</v>
      </c>
      <c r="BK205" s="21">
        <f t="shared" si="298"/>
        <v>9.5200000000000007E-2</v>
      </c>
      <c r="BL205" s="55"/>
      <c r="BM205" s="55"/>
      <c r="BN205" s="21">
        <f t="shared" si="299"/>
        <v>0</v>
      </c>
      <c r="BO205" s="55"/>
      <c r="BP205" s="55"/>
      <c r="BQ205" s="21">
        <f t="shared" si="300"/>
        <v>0</v>
      </c>
      <c r="BR205" s="55"/>
      <c r="BS205" s="21">
        <f t="shared" si="301"/>
        <v>14.998183333333332</v>
      </c>
      <c r="BT205" s="56">
        <v>0</v>
      </c>
      <c r="BU205" s="56"/>
      <c r="BV205" s="21">
        <f t="shared" si="302"/>
        <v>0</v>
      </c>
      <c r="BW205" s="77">
        <f t="shared" si="323"/>
        <v>0</v>
      </c>
      <c r="BX205" s="55"/>
      <c r="BY205" s="21">
        <f t="shared" si="303"/>
        <v>0</v>
      </c>
      <c r="BZ205" s="55"/>
      <c r="CA205" s="55"/>
      <c r="CB205" s="21">
        <f t="shared" si="309"/>
        <v>0</v>
      </c>
      <c r="CC205" s="54"/>
      <c r="CD205" s="54"/>
      <c r="CE205" s="21">
        <f t="shared" si="304"/>
        <v>0</v>
      </c>
      <c r="CF205" s="21"/>
      <c r="CG205" s="21"/>
      <c r="CH205" s="21">
        <f t="shared" si="324"/>
        <v>0</v>
      </c>
      <c r="CI205" s="25">
        <f t="shared" si="312"/>
        <v>0</v>
      </c>
      <c r="CJ205" s="54">
        <v>0.33700000000000002</v>
      </c>
      <c r="CK205" s="21">
        <f t="shared" si="305"/>
        <v>1.5165000000000002</v>
      </c>
      <c r="CL205" s="55">
        <v>83</v>
      </c>
      <c r="CM205" s="55"/>
      <c r="CN205" s="60">
        <v>37169</v>
      </c>
      <c r="CO205" s="55" t="s">
        <v>148</v>
      </c>
      <c r="CP205" s="55"/>
      <c r="CQ205" s="55"/>
      <c r="CR205" s="55"/>
      <c r="CS205" s="55"/>
      <c r="CT205" s="55"/>
      <c r="CU205" s="55"/>
      <c r="CV205" s="55"/>
      <c r="CW205" s="55"/>
      <c r="CX205" s="55"/>
      <c r="CY205" s="21">
        <f t="shared" si="266"/>
        <v>0</v>
      </c>
      <c r="CZ205" s="56"/>
      <c r="DA205" s="56"/>
      <c r="DB205" s="56"/>
      <c r="DC205" s="56"/>
      <c r="DD205" s="61">
        <f t="shared" si="313"/>
        <v>0</v>
      </c>
      <c r="DE205" s="21">
        <f t="shared" si="314"/>
        <v>19</v>
      </c>
      <c r="DF205" s="55"/>
      <c r="DG205" s="55"/>
      <c r="DH205" s="55"/>
      <c r="DI205" s="55">
        <v>19</v>
      </c>
      <c r="DJ205" s="104"/>
      <c r="DK205" s="53"/>
      <c r="DM205" s="58">
        <f t="shared" si="273"/>
        <v>734.37632517159648</v>
      </c>
      <c r="DN205" s="58">
        <f t="shared" si="290"/>
        <v>450.625</v>
      </c>
      <c r="DO205" s="21">
        <f t="shared" si="291"/>
        <v>0.61361591401343951</v>
      </c>
      <c r="DP205" s="62">
        <f t="shared" si="268"/>
        <v>1.0551917144912335</v>
      </c>
      <c r="DQ205" s="7">
        <v>0</v>
      </c>
      <c r="DR205" s="107">
        <f t="shared" si="274"/>
        <v>0</v>
      </c>
      <c r="DS205" s="36"/>
      <c r="DT205" s="36"/>
      <c r="DU205" s="36"/>
      <c r="DV205" s="36"/>
      <c r="DW205" s="36"/>
      <c r="DX205" s="36"/>
      <c r="DY205" s="36"/>
      <c r="DZ205" s="36"/>
      <c r="EB205" s="36"/>
      <c r="EC205" s="36"/>
      <c r="ED205" s="36"/>
      <c r="EF205" s="67"/>
      <c r="EG205" s="67"/>
    </row>
    <row r="206" spans="1:137" ht="12.75" customHeight="1" x14ac:dyDescent="0.2">
      <c r="A206" s="53" t="s">
        <v>391</v>
      </c>
      <c r="B206" s="54">
        <v>2</v>
      </c>
      <c r="C206" s="92">
        <f t="shared" si="320"/>
        <v>104.38083581564808</v>
      </c>
      <c r="D206" s="92">
        <f t="shared" si="321"/>
        <v>99.960418870354729</v>
      </c>
      <c r="E206" s="92">
        <f>VLOOKUP(A206,[3]TRTOTAL!$A$7:$D$313,3,FALSE)</f>
        <v>104.95771809188007</v>
      </c>
      <c r="F206" s="92">
        <f>VLOOKUP(A206,[3]TRTOTAL!$A$7:$D$313,4,FALSE)</f>
        <v>100.37014141528145</v>
      </c>
      <c r="G206" s="92">
        <f t="shared" si="307"/>
        <v>-0.57688227623198429</v>
      </c>
      <c r="H206" s="92">
        <f t="shared" si="308"/>
        <v>-0.40972254492672278</v>
      </c>
      <c r="I206" s="54">
        <v>5.52</v>
      </c>
      <c r="J206" s="56">
        <v>5.52</v>
      </c>
      <c r="K206" s="54">
        <v>2.6</v>
      </c>
      <c r="L206" s="57">
        <v>2</v>
      </c>
      <c r="M206" s="57"/>
      <c r="N206" s="57">
        <v>180</v>
      </c>
      <c r="O206" s="87"/>
      <c r="P206" s="24">
        <f t="shared" si="280"/>
        <v>17</v>
      </c>
      <c r="Q206" s="24">
        <f t="shared" si="279"/>
        <v>9.0500000000000007</v>
      </c>
      <c r="R206" s="24">
        <f t="shared" si="281"/>
        <v>4.3</v>
      </c>
      <c r="S206" s="87">
        <v>9.0500000000000007</v>
      </c>
      <c r="T206" s="21">
        <f t="shared" si="282"/>
        <v>5.73</v>
      </c>
      <c r="U206" s="21">
        <v>2.1</v>
      </c>
      <c r="V206" s="24">
        <f t="shared" si="283"/>
        <v>2.1</v>
      </c>
      <c r="W206" s="24">
        <f t="shared" si="284"/>
        <v>2.2600000000000002</v>
      </c>
      <c r="X206" s="24">
        <f t="shared" si="285"/>
        <v>3.3283734043386315</v>
      </c>
      <c r="Y206" s="25">
        <f t="shared" si="315"/>
        <v>1</v>
      </c>
      <c r="Z206" s="24">
        <f t="shared" si="310"/>
        <v>16.337791034816128</v>
      </c>
      <c r="AA206" s="21">
        <f t="shared" si="286"/>
        <v>0</v>
      </c>
      <c r="AB206" s="24">
        <f t="shared" si="322"/>
        <v>3.87</v>
      </c>
      <c r="AC206" s="24">
        <f t="shared" si="225"/>
        <v>22.854691034816128</v>
      </c>
      <c r="AD206" s="58">
        <f t="shared" si="287"/>
        <v>324</v>
      </c>
      <c r="AE206" s="58">
        <f t="shared" si="288"/>
        <v>330</v>
      </c>
      <c r="AF206" s="21">
        <f t="shared" si="316"/>
        <v>3.15</v>
      </c>
      <c r="AG206" s="77">
        <f t="shared" si="317"/>
        <v>0</v>
      </c>
      <c r="AH206" s="114">
        <f t="shared" si="311"/>
        <v>1</v>
      </c>
      <c r="AI206" s="59">
        <f t="shared" si="318"/>
        <v>102.43303194979761</v>
      </c>
      <c r="AJ206" s="59">
        <f t="shared" si="319"/>
        <v>98.095102418476685</v>
      </c>
      <c r="AK206" s="55"/>
      <c r="AL206" s="55"/>
      <c r="AM206" s="21">
        <f t="shared" si="289"/>
        <v>0</v>
      </c>
      <c r="AN206" s="54">
        <v>9.0500000000000007</v>
      </c>
      <c r="AO206" s="55"/>
      <c r="AP206" s="21">
        <f t="shared" si="292"/>
        <v>0</v>
      </c>
      <c r="AQ206" s="55"/>
      <c r="AR206" s="55"/>
      <c r="AS206" s="21">
        <f t="shared" si="293"/>
        <v>0</v>
      </c>
      <c r="AT206" s="54"/>
      <c r="AU206" s="54"/>
      <c r="AV206" s="21">
        <f t="shared" si="294"/>
        <v>0</v>
      </c>
      <c r="AW206" s="54"/>
      <c r="AX206" s="54"/>
      <c r="AY206" s="21">
        <f t="shared" si="295"/>
        <v>0</v>
      </c>
      <c r="AZ206" s="54"/>
      <c r="BA206" s="54"/>
      <c r="BB206" s="21">
        <f t="shared" si="296"/>
        <v>0</v>
      </c>
      <c r="BC206" s="54"/>
      <c r="BD206" s="54"/>
      <c r="BE206" s="21">
        <f t="shared" si="306"/>
        <v>0</v>
      </c>
      <c r="BF206" s="55"/>
      <c r="BG206" s="55"/>
      <c r="BH206" s="21">
        <f t="shared" si="297"/>
        <v>0</v>
      </c>
      <c r="BI206" s="55"/>
      <c r="BJ206" s="55"/>
      <c r="BK206" s="21">
        <f t="shared" si="298"/>
        <v>0</v>
      </c>
      <c r="BL206" s="55"/>
      <c r="BM206" s="55"/>
      <c r="BN206" s="21">
        <f t="shared" si="299"/>
        <v>0</v>
      </c>
      <c r="BO206" s="55"/>
      <c r="BP206" s="55"/>
      <c r="BQ206" s="21">
        <f t="shared" si="300"/>
        <v>0</v>
      </c>
      <c r="BR206" s="55"/>
      <c r="BS206" s="21">
        <f t="shared" si="301"/>
        <v>0</v>
      </c>
      <c r="BT206" s="56">
        <v>0</v>
      </c>
      <c r="BU206" s="56"/>
      <c r="BV206" s="21">
        <f t="shared" si="302"/>
        <v>0</v>
      </c>
      <c r="BW206" s="77">
        <f t="shared" si="323"/>
        <v>0</v>
      </c>
      <c r="BX206" s="55"/>
      <c r="BY206" s="21">
        <f t="shared" si="303"/>
        <v>0</v>
      </c>
      <c r="BZ206" s="55"/>
      <c r="CA206" s="55"/>
      <c r="CB206" s="21">
        <f t="shared" si="309"/>
        <v>0</v>
      </c>
      <c r="CC206" s="55"/>
      <c r="CD206" s="55"/>
      <c r="CE206" s="21">
        <f t="shared" si="304"/>
        <v>0</v>
      </c>
      <c r="CF206" s="21"/>
      <c r="CG206" s="21"/>
      <c r="CH206" s="21">
        <f t="shared" si="324"/>
        <v>0</v>
      </c>
      <c r="CI206" s="25">
        <f t="shared" si="312"/>
        <v>4.3</v>
      </c>
      <c r="CJ206" s="54"/>
      <c r="CK206" s="21">
        <f t="shared" si="305"/>
        <v>0</v>
      </c>
      <c r="CL206" s="55"/>
      <c r="CM206" s="55"/>
      <c r="CN206" s="60"/>
      <c r="CO206" s="55"/>
      <c r="CP206" s="55"/>
      <c r="CQ206" s="55"/>
      <c r="CR206" s="55"/>
      <c r="CS206" s="55"/>
      <c r="CT206" s="55"/>
      <c r="CU206" s="55"/>
      <c r="CV206" s="55"/>
      <c r="CW206" s="55"/>
      <c r="CX206" s="55"/>
      <c r="CY206" s="21">
        <f t="shared" si="266"/>
        <v>0</v>
      </c>
      <c r="CZ206" s="56"/>
      <c r="DA206" s="56"/>
      <c r="DB206" s="56"/>
      <c r="DC206" s="56"/>
      <c r="DD206" s="61">
        <f t="shared" si="313"/>
        <v>0</v>
      </c>
      <c r="DE206" s="21">
        <f t="shared" si="314"/>
        <v>21</v>
      </c>
      <c r="DF206" s="55">
        <v>17</v>
      </c>
      <c r="DG206" s="55">
        <v>4.3</v>
      </c>
      <c r="DH206" s="55">
        <v>5.73</v>
      </c>
      <c r="DI206" s="55">
        <v>21</v>
      </c>
      <c r="DJ206" s="104"/>
      <c r="DK206" s="53" t="s">
        <v>169</v>
      </c>
      <c r="DM206" s="58">
        <f t="shared" si="273"/>
        <v>909.31118396160002</v>
      </c>
      <c r="DN206" s="58">
        <f t="shared" si="290"/>
        <v>766.2</v>
      </c>
      <c r="DO206" s="21">
        <f t="shared" si="291"/>
        <v>0.84261583219717273</v>
      </c>
      <c r="DP206" s="62">
        <f t="shared" si="268"/>
        <v>1.0190153881885005</v>
      </c>
      <c r="DQ206" s="7" t="s">
        <v>130</v>
      </c>
      <c r="DR206" s="107" t="str">
        <f t="shared" si="274"/>
        <v>yes</v>
      </c>
    </row>
    <row r="207" spans="1:137" ht="12.75" customHeight="1" x14ac:dyDescent="0.2">
      <c r="A207" s="53" t="s">
        <v>392</v>
      </c>
      <c r="B207" s="54">
        <v>2</v>
      </c>
      <c r="C207" s="92">
        <f t="shared" si="320"/>
        <v>101.17406357288759</v>
      </c>
      <c r="D207" s="92">
        <f t="shared" si="321"/>
        <v>96.19816494536397</v>
      </c>
      <c r="E207" s="92">
        <f>VLOOKUP(A207,[3]TRTOTAL!$A$7:$D$313,3,FALSE)</f>
        <v>101.17406357288759</v>
      </c>
      <c r="F207" s="92">
        <f>VLOOKUP(A207,[3]TRTOTAL!$A$7:$D$313,4,FALSE)</f>
        <v>96.19816494536397</v>
      </c>
      <c r="G207" s="92">
        <f t="shared" si="307"/>
        <v>0</v>
      </c>
      <c r="H207" s="92">
        <f t="shared" si="308"/>
        <v>0</v>
      </c>
      <c r="I207" s="54">
        <v>6.1</v>
      </c>
      <c r="J207" s="56">
        <v>6.1</v>
      </c>
      <c r="K207" s="54">
        <v>2.59</v>
      </c>
      <c r="L207" s="57">
        <v>2</v>
      </c>
      <c r="M207" s="57"/>
      <c r="N207" s="57">
        <v>190</v>
      </c>
      <c r="O207" s="87"/>
      <c r="P207" s="24">
        <f t="shared" si="280"/>
        <v>18</v>
      </c>
      <c r="Q207" s="24">
        <f t="shared" si="279"/>
        <v>8.9</v>
      </c>
      <c r="R207" s="24">
        <f t="shared" si="281"/>
        <v>4.8499999999999996</v>
      </c>
      <c r="S207" s="87">
        <v>9.73</v>
      </c>
      <c r="T207" s="21">
        <f t="shared" si="282"/>
        <v>6.36</v>
      </c>
      <c r="U207" s="21">
        <v>2.2999999999999998</v>
      </c>
      <c r="V207" s="24">
        <f t="shared" si="283"/>
        <v>2.2999999999999998</v>
      </c>
      <c r="W207" s="24">
        <f t="shared" si="284"/>
        <v>2.46</v>
      </c>
      <c r="X207" s="24">
        <f t="shared" si="285"/>
        <v>2.9744199881023201</v>
      </c>
      <c r="Y207" s="25">
        <f t="shared" si="315"/>
        <v>1</v>
      </c>
      <c r="Z207" s="24">
        <f t="shared" si="310"/>
        <v>16.725071962595457</v>
      </c>
      <c r="AA207" s="21">
        <f t="shared" si="286"/>
        <v>0</v>
      </c>
      <c r="AB207" s="24">
        <f t="shared" si="322"/>
        <v>4.3650000000000002</v>
      </c>
      <c r="AC207" s="24">
        <f t="shared" si="225"/>
        <v>24.272621962595458</v>
      </c>
      <c r="AD207" s="58">
        <f t="shared" si="287"/>
        <v>334</v>
      </c>
      <c r="AE207" s="58">
        <f t="shared" si="288"/>
        <v>340</v>
      </c>
      <c r="AF207" s="21">
        <f t="shared" si="316"/>
        <v>3.75</v>
      </c>
      <c r="AG207" s="77">
        <f t="shared" si="317"/>
        <v>0</v>
      </c>
      <c r="AH207" s="114">
        <f t="shared" si="311"/>
        <v>1</v>
      </c>
      <c r="AI207" s="59">
        <f t="shared" si="318"/>
        <v>98.693735302838206</v>
      </c>
      <c r="AJ207" s="59">
        <f t="shared" si="319"/>
        <v>93.839823097515136</v>
      </c>
      <c r="AK207" s="55"/>
      <c r="AL207" s="55"/>
      <c r="AM207" s="21">
        <f t="shared" si="289"/>
        <v>0</v>
      </c>
      <c r="AN207" s="54">
        <v>8.9</v>
      </c>
      <c r="AO207" s="55"/>
      <c r="AP207" s="21">
        <f t="shared" si="292"/>
        <v>0</v>
      </c>
      <c r="AQ207" s="55"/>
      <c r="AR207" s="55"/>
      <c r="AS207" s="21">
        <f t="shared" si="293"/>
        <v>0</v>
      </c>
      <c r="AT207" s="54"/>
      <c r="AU207" s="54"/>
      <c r="AV207" s="21">
        <f t="shared" si="294"/>
        <v>0</v>
      </c>
      <c r="AW207" s="54"/>
      <c r="AX207" s="54"/>
      <c r="AY207" s="21">
        <f t="shared" si="295"/>
        <v>0</v>
      </c>
      <c r="AZ207" s="54"/>
      <c r="BA207" s="54"/>
      <c r="BB207" s="21">
        <f t="shared" si="296"/>
        <v>0</v>
      </c>
      <c r="BC207" s="54"/>
      <c r="BD207" s="54"/>
      <c r="BE207" s="21">
        <f t="shared" si="306"/>
        <v>0</v>
      </c>
      <c r="BF207" s="55"/>
      <c r="BG207" s="55"/>
      <c r="BH207" s="21">
        <f t="shared" si="297"/>
        <v>0</v>
      </c>
      <c r="BI207" s="55"/>
      <c r="BJ207" s="55"/>
      <c r="BK207" s="21">
        <f t="shared" si="298"/>
        <v>0</v>
      </c>
      <c r="BL207" s="55"/>
      <c r="BM207" s="55"/>
      <c r="BN207" s="21">
        <f t="shared" si="299"/>
        <v>0</v>
      </c>
      <c r="BO207" s="55"/>
      <c r="BP207" s="55"/>
      <c r="BQ207" s="21">
        <f t="shared" si="300"/>
        <v>0</v>
      </c>
      <c r="BR207" s="55"/>
      <c r="BS207" s="21">
        <f t="shared" si="301"/>
        <v>0</v>
      </c>
      <c r="BT207" s="56">
        <v>0</v>
      </c>
      <c r="BU207" s="56"/>
      <c r="BV207" s="21">
        <f t="shared" si="302"/>
        <v>0</v>
      </c>
      <c r="BW207" s="77">
        <f t="shared" si="323"/>
        <v>0</v>
      </c>
      <c r="BX207" s="55"/>
      <c r="BY207" s="21">
        <f t="shared" si="303"/>
        <v>0</v>
      </c>
      <c r="BZ207" s="55"/>
      <c r="CA207" s="55"/>
      <c r="CB207" s="21">
        <f t="shared" si="309"/>
        <v>0</v>
      </c>
      <c r="CC207" s="54"/>
      <c r="CD207" s="54"/>
      <c r="CE207" s="21">
        <f t="shared" si="304"/>
        <v>0</v>
      </c>
      <c r="CF207" s="21"/>
      <c r="CG207" s="21"/>
      <c r="CH207" s="21">
        <f t="shared" si="324"/>
        <v>0</v>
      </c>
      <c r="CI207" s="25">
        <f t="shared" si="312"/>
        <v>4.8499999999999996</v>
      </c>
      <c r="CJ207" s="54"/>
      <c r="CK207" s="21">
        <f t="shared" si="305"/>
        <v>0</v>
      </c>
      <c r="CL207" s="55"/>
      <c r="CM207" s="55"/>
      <c r="CN207" s="60"/>
      <c r="CO207" s="55"/>
      <c r="CP207" s="55"/>
      <c r="CQ207" s="55"/>
      <c r="CR207" s="55"/>
      <c r="CS207" s="55"/>
      <c r="CT207" s="55"/>
      <c r="CU207" s="55"/>
      <c r="CV207" s="55"/>
      <c r="CW207" s="55"/>
      <c r="CX207" s="55"/>
      <c r="CY207" s="21">
        <f t="shared" si="266"/>
        <v>0</v>
      </c>
      <c r="CZ207" s="56"/>
      <c r="DA207" s="56"/>
      <c r="DB207" s="56"/>
      <c r="DC207" s="56"/>
      <c r="DD207" s="61">
        <f t="shared" si="313"/>
        <v>0</v>
      </c>
      <c r="DE207" s="21">
        <f t="shared" si="314"/>
        <v>25</v>
      </c>
      <c r="DF207" s="55">
        <v>18</v>
      </c>
      <c r="DG207" s="55">
        <v>4.8499999999999996</v>
      </c>
      <c r="DH207" s="55">
        <v>6.36</v>
      </c>
      <c r="DI207" s="55">
        <v>25</v>
      </c>
      <c r="DJ207" s="104"/>
      <c r="DK207" s="53"/>
      <c r="DM207" s="58">
        <f t="shared" si="273"/>
        <v>973.40699850239969</v>
      </c>
      <c r="DN207" s="58">
        <f t="shared" si="290"/>
        <v>776.78</v>
      </c>
      <c r="DO207" s="21">
        <f t="shared" si="291"/>
        <v>0.79800124839361841</v>
      </c>
      <c r="DP207" s="62">
        <f t="shared" si="268"/>
        <v>1.0251315674945181</v>
      </c>
      <c r="DQ207" s="7" t="s">
        <v>130</v>
      </c>
      <c r="DR207" s="107">
        <f t="shared" si="274"/>
        <v>0</v>
      </c>
    </row>
    <row r="208" spans="1:137" ht="12.75" customHeight="1" x14ac:dyDescent="0.2">
      <c r="A208" s="53" t="s">
        <v>393</v>
      </c>
      <c r="B208" s="54">
        <v>1</v>
      </c>
      <c r="C208" s="92">
        <f t="shared" si="320"/>
        <v>114.1028357032101</v>
      </c>
      <c r="D208" s="92">
        <f t="shared" si="321"/>
        <v>107.3505825230489</v>
      </c>
      <c r="E208" s="92">
        <f>VLOOKUP(A208,[3]TRTOTAL!$A$7:$D$313,3,FALSE)</f>
        <v>114.1028357032101</v>
      </c>
      <c r="F208" s="92">
        <f>VLOOKUP(A208,[3]TRTOTAL!$A$7:$D$313,4,FALSE)</f>
        <v>107.3505825230489</v>
      </c>
      <c r="G208" s="92">
        <f t="shared" si="307"/>
        <v>0</v>
      </c>
      <c r="H208" s="92">
        <f t="shared" si="308"/>
        <v>0</v>
      </c>
      <c r="I208" s="54">
        <v>5.22</v>
      </c>
      <c r="J208" s="56">
        <v>5.22</v>
      </c>
      <c r="K208" s="54">
        <v>2.59</v>
      </c>
      <c r="L208" s="57">
        <v>1</v>
      </c>
      <c r="M208" s="57">
        <v>155</v>
      </c>
      <c r="N208" s="57"/>
      <c r="O208" s="87"/>
      <c r="P208" s="24">
        <f t="shared" si="280"/>
        <v>13.84</v>
      </c>
      <c r="Q208" s="24">
        <f t="shared" si="279"/>
        <v>8.16</v>
      </c>
      <c r="R208" s="24">
        <f t="shared" si="281"/>
        <v>0</v>
      </c>
      <c r="S208" s="87">
        <v>8.6</v>
      </c>
      <c r="T208" s="21">
        <f t="shared" si="282"/>
        <v>0</v>
      </c>
      <c r="U208" s="21"/>
      <c r="V208" s="24">
        <f t="shared" si="283"/>
        <v>1.96</v>
      </c>
      <c r="W208" s="24">
        <f t="shared" si="284"/>
        <v>2.12</v>
      </c>
      <c r="X208" s="24">
        <f t="shared" si="285"/>
        <v>3.0793876824492696</v>
      </c>
      <c r="Y208" s="25">
        <f t="shared" si="315"/>
        <v>1</v>
      </c>
      <c r="Z208" s="24">
        <f t="shared" si="310"/>
        <v>12.994219639185713</v>
      </c>
      <c r="AA208" s="21">
        <f t="shared" si="286"/>
        <v>0</v>
      </c>
      <c r="AB208" s="24">
        <f t="shared" si="322"/>
        <v>0</v>
      </c>
      <c r="AC208" s="24">
        <f t="shared" si="225"/>
        <v>15.844219639185713</v>
      </c>
      <c r="AD208" s="58">
        <f t="shared" si="287"/>
        <v>230</v>
      </c>
      <c r="AE208" s="58">
        <f t="shared" si="288"/>
        <v>236</v>
      </c>
      <c r="AF208" s="21">
        <f t="shared" si="316"/>
        <v>2.85</v>
      </c>
      <c r="AG208" s="77">
        <f t="shared" si="317"/>
        <v>0</v>
      </c>
      <c r="AH208" s="114">
        <f t="shared" si="311"/>
        <v>1</v>
      </c>
      <c r="AI208" s="59">
        <f t="shared" si="318"/>
        <v>111.18916636209192</v>
      </c>
      <c r="AJ208" s="59">
        <f t="shared" si="319"/>
        <v>103.57359913741924</v>
      </c>
      <c r="AK208" s="55"/>
      <c r="AL208" s="55">
        <v>1.96</v>
      </c>
      <c r="AM208" s="21">
        <f t="shared" si="289"/>
        <v>0</v>
      </c>
      <c r="AN208" s="54">
        <v>8.16</v>
      </c>
      <c r="AO208" s="55"/>
      <c r="AP208" s="21">
        <f t="shared" si="292"/>
        <v>0</v>
      </c>
      <c r="AQ208" s="55"/>
      <c r="AR208" s="55"/>
      <c r="AS208" s="21">
        <f t="shared" si="293"/>
        <v>0</v>
      </c>
      <c r="AT208" s="54"/>
      <c r="AU208" s="54"/>
      <c r="AV208" s="21">
        <f t="shared" si="294"/>
        <v>0</v>
      </c>
      <c r="AW208" s="54"/>
      <c r="AX208" s="54"/>
      <c r="AY208" s="21">
        <f t="shared" si="295"/>
        <v>0</v>
      </c>
      <c r="AZ208" s="54"/>
      <c r="BA208" s="54"/>
      <c r="BB208" s="21"/>
      <c r="BC208" s="54"/>
      <c r="BD208" s="54"/>
      <c r="BE208" s="21"/>
      <c r="BF208" s="55"/>
      <c r="BG208" s="55"/>
      <c r="BH208" s="21"/>
      <c r="BI208" s="55"/>
      <c r="BJ208" s="55"/>
      <c r="BK208" s="21"/>
      <c r="BL208" s="55"/>
      <c r="BM208" s="55"/>
      <c r="BN208" s="21"/>
      <c r="BO208" s="55"/>
      <c r="BP208" s="55"/>
      <c r="BQ208" s="21"/>
      <c r="BR208" s="55"/>
      <c r="BS208" s="21">
        <f t="shared" si="301"/>
        <v>0</v>
      </c>
      <c r="BT208" s="56">
        <v>0</v>
      </c>
      <c r="BU208" s="56"/>
      <c r="BV208" s="21">
        <f t="shared" si="302"/>
        <v>0</v>
      </c>
      <c r="BW208" s="77">
        <f t="shared" si="323"/>
        <v>0</v>
      </c>
      <c r="BX208" s="55"/>
      <c r="BY208" s="21">
        <f t="shared" si="303"/>
        <v>0</v>
      </c>
      <c r="BZ208" s="55"/>
      <c r="CA208" s="55"/>
      <c r="CB208" s="21">
        <f t="shared" si="309"/>
        <v>0</v>
      </c>
      <c r="CC208" s="55"/>
      <c r="CD208" s="55"/>
      <c r="CE208" s="21">
        <f t="shared" si="304"/>
        <v>0</v>
      </c>
      <c r="CF208" s="21"/>
      <c r="CG208" s="21"/>
      <c r="CH208" s="21">
        <f t="shared" si="324"/>
        <v>0</v>
      </c>
      <c r="CI208" s="25">
        <f t="shared" si="312"/>
        <v>0</v>
      </c>
      <c r="CJ208" s="54"/>
      <c r="CK208" s="21">
        <f t="shared" si="305"/>
        <v>0</v>
      </c>
      <c r="CL208" s="55"/>
      <c r="CM208" s="55"/>
      <c r="CN208" s="60"/>
      <c r="CO208" s="55" t="s">
        <v>517</v>
      </c>
      <c r="CP208" s="55"/>
      <c r="CQ208" s="55"/>
      <c r="CR208" s="55"/>
      <c r="CS208" s="55"/>
      <c r="CT208" s="55"/>
      <c r="CU208" s="55"/>
      <c r="CV208" s="55"/>
      <c r="CW208" s="55"/>
      <c r="CX208" s="55"/>
      <c r="CY208" s="21">
        <f t="shared" si="266"/>
        <v>0</v>
      </c>
      <c r="CZ208" s="56"/>
      <c r="DA208" s="56"/>
      <c r="DB208" s="56"/>
      <c r="DC208" s="56"/>
      <c r="DD208" s="61">
        <f t="shared" si="313"/>
        <v>0</v>
      </c>
      <c r="DE208" s="21">
        <f t="shared" si="314"/>
        <v>19</v>
      </c>
      <c r="DF208" s="55">
        <v>13.84</v>
      </c>
      <c r="DG208" s="55"/>
      <c r="DH208" s="55"/>
      <c r="DI208" s="55">
        <v>19</v>
      </c>
      <c r="DJ208" s="104"/>
      <c r="DK208" s="53"/>
      <c r="DM208" s="58">
        <f t="shared" si="273"/>
        <v>594.56822820863988</v>
      </c>
      <c r="DN208" s="58">
        <f t="shared" si="290"/>
        <v>469.97500000000002</v>
      </c>
      <c r="DO208" s="21">
        <f t="shared" si="291"/>
        <v>0.79044755118512844</v>
      </c>
      <c r="DP208" s="62">
        <f t="shared" si="268"/>
        <v>1.0262046153995767</v>
      </c>
      <c r="DQ208" s="7">
        <v>0</v>
      </c>
      <c r="DR208" s="107">
        <f t="shared" si="274"/>
        <v>0</v>
      </c>
    </row>
    <row r="209" spans="1:122" ht="12.75" customHeight="1" x14ac:dyDescent="0.2">
      <c r="A209" s="53" t="s">
        <v>577</v>
      </c>
      <c r="B209" s="54">
        <v>1</v>
      </c>
      <c r="C209" s="92">
        <f t="shared" si="320"/>
        <v>114.2904179988866</v>
      </c>
      <c r="D209" s="92">
        <f t="shared" si="321"/>
        <v>107.53035893195673</v>
      </c>
      <c r="E209" s="92">
        <f>VLOOKUP(A209,[3]TRTOTAL!$A$7:$D$313,3,FALSE)</f>
        <v>114.2904179988866</v>
      </c>
      <c r="F209" s="92">
        <f>VLOOKUP(A209,[3]TRTOTAL!$A$7:$D$313,4,FALSE)</f>
        <v>107.53035893195673</v>
      </c>
      <c r="G209" s="92">
        <f t="shared" si="307"/>
        <v>0</v>
      </c>
      <c r="H209" s="92">
        <f t="shared" si="308"/>
        <v>0</v>
      </c>
      <c r="I209" s="54">
        <v>5.22</v>
      </c>
      <c r="J209" s="56">
        <v>5.22</v>
      </c>
      <c r="K209" s="54">
        <v>2.59</v>
      </c>
      <c r="L209" s="57">
        <v>1</v>
      </c>
      <c r="M209" s="57"/>
      <c r="N209" s="57">
        <v>163</v>
      </c>
      <c r="O209" s="87"/>
      <c r="P209" s="24">
        <f t="shared" si="280"/>
        <v>13.84</v>
      </c>
      <c r="Q209" s="24">
        <f t="shared" si="279"/>
        <v>8.16</v>
      </c>
      <c r="R209" s="24">
        <f t="shared" si="281"/>
        <v>0</v>
      </c>
      <c r="S209" s="87">
        <v>8.6</v>
      </c>
      <c r="T209" s="21">
        <f t="shared" si="282"/>
        <v>0</v>
      </c>
      <c r="U209" s="21"/>
      <c r="V209" s="24">
        <f t="shared" si="283"/>
        <v>1.9550000000000001</v>
      </c>
      <c r="W209" s="24">
        <f t="shared" si="284"/>
        <v>2.1150000000000002</v>
      </c>
      <c r="X209" s="24">
        <f t="shared" si="285"/>
        <v>3.093964645194462</v>
      </c>
      <c r="Y209" s="25">
        <f t="shared" si="315"/>
        <v>1</v>
      </c>
      <c r="Z209" s="24">
        <f t="shared" si="310"/>
        <v>13.012642451339739</v>
      </c>
      <c r="AA209" s="21">
        <f t="shared" si="286"/>
        <v>0</v>
      </c>
      <c r="AB209" s="24">
        <f t="shared" si="322"/>
        <v>0</v>
      </c>
      <c r="AC209" s="24">
        <f t="shared" si="225"/>
        <v>15.862642451339738</v>
      </c>
      <c r="AD209" s="58">
        <f t="shared" si="287"/>
        <v>232</v>
      </c>
      <c r="AE209" s="58">
        <f t="shared" si="288"/>
        <v>238</v>
      </c>
      <c r="AF209" s="21">
        <f t="shared" si="316"/>
        <v>2.85</v>
      </c>
      <c r="AG209" s="77">
        <f t="shared" si="317"/>
        <v>0</v>
      </c>
      <c r="AH209" s="114">
        <f t="shared" si="311"/>
        <v>1</v>
      </c>
      <c r="AI209" s="59">
        <f t="shared" si="318"/>
        <v>111.43930761478225</v>
      </c>
      <c r="AJ209" s="59">
        <f t="shared" si="319"/>
        <v>103.80978837616099</v>
      </c>
      <c r="AK209" s="55"/>
      <c r="AL209" s="55">
        <v>1.9550000000000001</v>
      </c>
      <c r="AM209" s="21">
        <f t="shared" si="289"/>
        <v>0</v>
      </c>
      <c r="AN209" s="54">
        <v>8.16</v>
      </c>
      <c r="AO209" s="55"/>
      <c r="AP209" s="21">
        <f t="shared" si="292"/>
        <v>0</v>
      </c>
      <c r="AQ209" s="55"/>
      <c r="AR209" s="55"/>
      <c r="AS209" s="21">
        <f t="shared" si="293"/>
        <v>0</v>
      </c>
      <c r="AT209" s="54"/>
      <c r="AU209" s="54"/>
      <c r="AV209" s="21">
        <f t="shared" si="294"/>
        <v>0</v>
      </c>
      <c r="AW209" s="54"/>
      <c r="AX209" s="54"/>
      <c r="AY209" s="21">
        <f t="shared" si="295"/>
        <v>0</v>
      </c>
      <c r="AZ209" s="54"/>
      <c r="BA209" s="54"/>
      <c r="BB209" s="21"/>
      <c r="BC209" s="54"/>
      <c r="BD209" s="54"/>
      <c r="BE209" s="21"/>
      <c r="BF209" s="55"/>
      <c r="BG209" s="55"/>
      <c r="BH209" s="21"/>
      <c r="BI209" s="55"/>
      <c r="BJ209" s="55"/>
      <c r="BK209" s="21"/>
      <c r="BL209" s="55"/>
      <c r="BM209" s="55"/>
      <c r="BN209" s="21"/>
      <c r="BO209" s="55"/>
      <c r="BP209" s="55"/>
      <c r="BQ209" s="21"/>
      <c r="BR209" s="55"/>
      <c r="BS209" s="21">
        <f t="shared" si="301"/>
        <v>0</v>
      </c>
      <c r="BT209" s="56">
        <v>0</v>
      </c>
      <c r="BU209" s="56"/>
      <c r="BV209" s="21">
        <f t="shared" si="302"/>
        <v>0</v>
      </c>
      <c r="BW209" s="77">
        <f t="shared" si="323"/>
        <v>0</v>
      </c>
      <c r="BX209" s="55"/>
      <c r="BY209" s="21">
        <f t="shared" si="303"/>
        <v>0</v>
      </c>
      <c r="BZ209" s="55"/>
      <c r="CA209" s="55"/>
      <c r="CB209" s="21">
        <f t="shared" si="309"/>
        <v>0</v>
      </c>
      <c r="CC209" s="54"/>
      <c r="CD209" s="54"/>
      <c r="CE209" s="21">
        <f t="shared" si="304"/>
        <v>0</v>
      </c>
      <c r="CF209" s="21"/>
      <c r="CG209" s="21"/>
      <c r="CH209" s="21">
        <f t="shared" si="324"/>
        <v>0</v>
      </c>
      <c r="CI209" s="25">
        <f t="shared" si="312"/>
        <v>0</v>
      </c>
      <c r="CJ209" s="54"/>
      <c r="CK209" s="21">
        <f t="shared" si="305"/>
        <v>0</v>
      </c>
      <c r="CL209" s="55"/>
      <c r="CM209" s="55"/>
      <c r="CN209" s="60"/>
      <c r="CO209" s="55" t="s">
        <v>517</v>
      </c>
      <c r="CP209" s="55"/>
      <c r="CQ209" s="55"/>
      <c r="CR209" s="55"/>
      <c r="CS209" s="55"/>
      <c r="CT209" s="55"/>
      <c r="CU209" s="55"/>
      <c r="CV209" s="55"/>
      <c r="CW209" s="55"/>
      <c r="CX209" s="55"/>
      <c r="CY209" s="21">
        <f t="shared" si="266"/>
        <v>0</v>
      </c>
      <c r="CZ209" s="56"/>
      <c r="DA209" s="56"/>
      <c r="DB209" s="56"/>
      <c r="DC209" s="56"/>
      <c r="DD209" s="61">
        <f t="shared" si="313"/>
        <v>0</v>
      </c>
      <c r="DE209" s="21">
        <f t="shared" si="314"/>
        <v>19</v>
      </c>
      <c r="DF209" s="55">
        <v>13.84</v>
      </c>
      <c r="DG209" s="55"/>
      <c r="DH209" s="55"/>
      <c r="DI209" s="55">
        <v>19</v>
      </c>
      <c r="DJ209" s="104"/>
      <c r="DK209" s="53"/>
      <c r="DM209" s="58">
        <f t="shared" si="273"/>
        <v>594.56822820863988</v>
      </c>
      <c r="DN209" s="58">
        <f t="shared" si="290"/>
        <v>472.565</v>
      </c>
      <c r="DO209" s="21">
        <f t="shared" si="291"/>
        <v>0.79480365344071535</v>
      </c>
      <c r="DP209" s="62">
        <f t="shared" si="268"/>
        <v>1.0255844229933653</v>
      </c>
      <c r="DQ209" s="7" t="s">
        <v>130</v>
      </c>
      <c r="DR209" s="107">
        <f t="shared" si="274"/>
        <v>0</v>
      </c>
    </row>
    <row r="210" spans="1:122" ht="12.75" customHeight="1" x14ac:dyDescent="0.2">
      <c r="A210" s="53" t="s">
        <v>394</v>
      </c>
      <c r="B210" s="54">
        <v>2</v>
      </c>
      <c r="C210" s="92">
        <f t="shared" si="320"/>
        <v>135.4169252982571</v>
      </c>
      <c r="D210" s="92">
        <f t="shared" si="321"/>
        <v>127.16367578932018</v>
      </c>
      <c r="E210" s="92">
        <f>VLOOKUP(A210,[3]TRTOTAL!$A$7:$D$313,3,FALSE)</f>
        <v>135.4169252982571</v>
      </c>
      <c r="F210" s="92">
        <f>VLOOKUP(A210,[3]TRTOTAL!$A$7:$D$313,4,FALSE)</f>
        <v>127.16367578932018</v>
      </c>
      <c r="G210" s="92">
        <f t="shared" si="307"/>
        <v>0</v>
      </c>
      <c r="H210" s="92">
        <f t="shared" si="308"/>
        <v>0</v>
      </c>
      <c r="I210" s="54">
        <v>4.2</v>
      </c>
      <c r="J210" s="56">
        <v>4.0999999999999996</v>
      </c>
      <c r="K210" s="54">
        <v>2.2000000000000002</v>
      </c>
      <c r="L210" s="57">
        <v>1</v>
      </c>
      <c r="M210" s="57">
        <v>125</v>
      </c>
      <c r="N210" s="57"/>
      <c r="O210" s="87" t="s">
        <v>133</v>
      </c>
      <c r="P210" s="24">
        <f t="shared" si="280"/>
        <v>10.26</v>
      </c>
      <c r="Q210" s="24">
        <f t="shared" si="279"/>
        <v>6.2</v>
      </c>
      <c r="R210" s="24">
        <f t="shared" si="281"/>
        <v>2.5</v>
      </c>
      <c r="S210" s="87">
        <v>6.8</v>
      </c>
      <c r="T210" s="21">
        <f t="shared" si="282"/>
        <v>4.05</v>
      </c>
      <c r="U210" s="21"/>
      <c r="V210" s="24">
        <f t="shared" si="283"/>
        <v>1.7</v>
      </c>
      <c r="W210" s="24">
        <f t="shared" si="284"/>
        <v>1.8599999999999999</v>
      </c>
      <c r="X210" s="24">
        <f t="shared" si="285"/>
        <v>2.9656607700312176</v>
      </c>
      <c r="Y210" s="25">
        <f t="shared" si="315"/>
        <v>1</v>
      </c>
      <c r="Z210" s="24">
        <f t="shared" si="310"/>
        <v>9.524860092307355</v>
      </c>
      <c r="AA210" s="21">
        <f t="shared" si="286"/>
        <v>0</v>
      </c>
      <c r="AB210" s="24">
        <f t="shared" si="322"/>
        <v>2.25</v>
      </c>
      <c r="AC210" s="24">
        <f t="shared" si="225"/>
        <v>14.032360092307355</v>
      </c>
      <c r="AD210" s="58">
        <f t="shared" si="287"/>
        <v>265</v>
      </c>
      <c r="AE210" s="58">
        <f t="shared" si="288"/>
        <v>271</v>
      </c>
      <c r="AF210" s="21">
        <f t="shared" si="316"/>
        <v>2.5499999999999998</v>
      </c>
      <c r="AG210" s="77">
        <f t="shared" si="317"/>
        <v>0</v>
      </c>
      <c r="AH210" s="114">
        <f t="shared" si="311"/>
        <v>1.04</v>
      </c>
      <c r="AI210" s="59">
        <f t="shared" si="318"/>
        <v>135.4169252982571</v>
      </c>
      <c r="AJ210" s="59">
        <f t="shared" si="319"/>
        <v>127.16367578932018</v>
      </c>
      <c r="AK210" s="55"/>
      <c r="AL210" s="55">
        <v>1.7</v>
      </c>
      <c r="AM210" s="21">
        <f t="shared" si="289"/>
        <v>0</v>
      </c>
      <c r="AN210" s="54">
        <v>6.2</v>
      </c>
      <c r="AO210" s="55"/>
      <c r="AP210" s="21">
        <f t="shared" si="292"/>
        <v>0</v>
      </c>
      <c r="AQ210" s="55"/>
      <c r="AR210" s="55"/>
      <c r="AS210" s="21">
        <f t="shared" si="293"/>
        <v>0</v>
      </c>
      <c r="AT210" s="54"/>
      <c r="AU210" s="54"/>
      <c r="AV210" s="21">
        <f t="shared" si="294"/>
        <v>0</v>
      </c>
      <c r="AW210" s="54"/>
      <c r="AX210" s="54"/>
      <c r="AY210" s="21">
        <f t="shared" si="295"/>
        <v>0</v>
      </c>
      <c r="AZ210" s="54"/>
      <c r="BA210" s="54"/>
      <c r="BB210" s="21">
        <f t="shared" ref="BB210:BB233" si="325">AZ210*BA210*2/3</f>
        <v>0</v>
      </c>
      <c r="BC210" s="54"/>
      <c r="BD210" s="54"/>
      <c r="BE210" s="21">
        <f t="shared" ref="BE210:BE237" si="326">BC210*BD210*2/3</f>
        <v>0</v>
      </c>
      <c r="BF210" s="55"/>
      <c r="BG210" s="55"/>
      <c r="BH210" s="21">
        <f t="shared" ref="BH210:BH237" si="327">BF210*BG210*0.5</f>
        <v>0</v>
      </c>
      <c r="BI210" s="55"/>
      <c r="BJ210" s="55"/>
      <c r="BK210" s="21">
        <f t="shared" ref="BK210:BK237" si="328">BI210*BJ210*2/3</f>
        <v>0</v>
      </c>
      <c r="BL210" s="55"/>
      <c r="BM210" s="55"/>
      <c r="BN210" s="21">
        <f t="shared" ref="BN210:BN237" si="329">BL210*BM210*0.5</f>
        <v>0</v>
      </c>
      <c r="BO210" s="55"/>
      <c r="BP210" s="55"/>
      <c r="BQ210" s="21">
        <f t="shared" ref="BQ210:BQ237" si="330">BO210*BP210*0.5</f>
        <v>0</v>
      </c>
      <c r="BR210" s="55"/>
      <c r="BS210" s="21">
        <f t="shared" si="301"/>
        <v>0</v>
      </c>
      <c r="BT210" s="56"/>
      <c r="BU210" s="56"/>
      <c r="BV210" s="21">
        <f t="shared" si="302"/>
        <v>0</v>
      </c>
      <c r="BW210" s="77">
        <f t="shared" si="323"/>
        <v>0</v>
      </c>
      <c r="BX210" s="55"/>
      <c r="BY210" s="21">
        <f t="shared" si="303"/>
        <v>0</v>
      </c>
      <c r="BZ210" s="55"/>
      <c r="CA210" s="55"/>
      <c r="CB210" s="21">
        <f t="shared" si="309"/>
        <v>0</v>
      </c>
      <c r="CC210" s="54"/>
      <c r="CD210" s="54"/>
      <c r="CE210" s="21">
        <f t="shared" si="304"/>
        <v>0</v>
      </c>
      <c r="CF210" s="21"/>
      <c r="CG210" s="21"/>
      <c r="CH210" s="21">
        <f t="shared" si="324"/>
        <v>0</v>
      </c>
      <c r="CI210" s="25">
        <f t="shared" si="312"/>
        <v>2.5</v>
      </c>
      <c r="CJ210" s="54"/>
      <c r="CK210" s="21">
        <f t="shared" si="305"/>
        <v>0</v>
      </c>
      <c r="CL210" s="55"/>
      <c r="CM210" s="55"/>
      <c r="CN210" s="60"/>
      <c r="CO210" s="55" t="s">
        <v>517</v>
      </c>
      <c r="CP210" s="55"/>
      <c r="CQ210" s="55"/>
      <c r="CR210" s="55"/>
      <c r="CS210" s="55"/>
      <c r="CT210" s="55"/>
      <c r="CU210" s="55"/>
      <c r="CV210" s="55"/>
      <c r="CW210" s="55"/>
      <c r="CX210" s="55"/>
      <c r="CY210" s="21"/>
      <c r="CZ210" s="56"/>
      <c r="DA210" s="56"/>
      <c r="DB210" s="56"/>
      <c r="DC210" s="56"/>
      <c r="DD210" s="61">
        <f t="shared" si="313"/>
        <v>0</v>
      </c>
      <c r="DE210" s="21">
        <f t="shared" si="314"/>
        <v>0</v>
      </c>
      <c r="DF210" s="55">
        <v>10.26</v>
      </c>
      <c r="DG210" s="55">
        <v>2.5</v>
      </c>
      <c r="DH210" s="55">
        <v>4.05</v>
      </c>
      <c r="DI210" s="55"/>
      <c r="DJ210" s="104"/>
      <c r="DK210" s="53"/>
      <c r="DM210" s="58">
        <f t="shared" si="273"/>
        <v>415.49498430719996</v>
      </c>
      <c r="DN210" s="58">
        <f t="shared" si="290"/>
        <v>515.5</v>
      </c>
      <c r="DO210" s="21">
        <f t="shared" si="291"/>
        <v>1.2406888638127589</v>
      </c>
      <c r="DP210" s="62">
        <f t="shared" si="268"/>
        <v>1</v>
      </c>
      <c r="DQ210" s="7" t="s">
        <v>130</v>
      </c>
      <c r="DR210" s="107">
        <f t="shared" si="274"/>
        <v>0</v>
      </c>
    </row>
    <row r="211" spans="1:122" ht="12.75" customHeight="1" x14ac:dyDescent="0.2">
      <c r="A211" s="53" t="s">
        <v>395</v>
      </c>
      <c r="B211" s="54">
        <v>2</v>
      </c>
      <c r="C211" s="92">
        <f t="shared" si="320"/>
        <v>140.96729141207001</v>
      </c>
      <c r="D211" s="92">
        <f t="shared" si="321"/>
        <v>131.36140278003015</v>
      </c>
      <c r="E211" s="92">
        <f>VLOOKUP(A211,[3]TRTOTAL!$A$7:$D$313,3,FALSE)</f>
        <v>140.96729141207001</v>
      </c>
      <c r="F211" s="92">
        <f>VLOOKUP(A211,[3]TRTOTAL!$A$7:$D$313,4,FALSE)</f>
        <v>131.36140278003015</v>
      </c>
      <c r="G211" s="92">
        <f t="shared" si="307"/>
        <v>0</v>
      </c>
      <c r="H211" s="92">
        <f t="shared" si="308"/>
        <v>0</v>
      </c>
      <c r="I211" s="54">
        <v>4.2</v>
      </c>
      <c r="J211" s="56">
        <v>4.0999999999999996</v>
      </c>
      <c r="K211" s="54">
        <v>2.2000000000000002</v>
      </c>
      <c r="L211" s="57">
        <v>1</v>
      </c>
      <c r="M211" s="57">
        <v>120</v>
      </c>
      <c r="N211" s="57"/>
      <c r="O211" s="87" t="s">
        <v>133</v>
      </c>
      <c r="P211" s="24">
        <f t="shared" si="280"/>
        <v>9.2200000000000006</v>
      </c>
      <c r="Q211" s="24">
        <f t="shared" si="279"/>
        <v>5.81</v>
      </c>
      <c r="R211" s="24">
        <f t="shared" si="281"/>
        <v>2.5</v>
      </c>
      <c r="S211" s="87">
        <v>6.8</v>
      </c>
      <c r="T211" s="21">
        <f t="shared" si="282"/>
        <v>4</v>
      </c>
      <c r="U211" s="21"/>
      <c r="V211" s="24">
        <f t="shared" si="283"/>
        <v>1.72</v>
      </c>
      <c r="W211" s="24">
        <f t="shared" si="284"/>
        <v>1.88</v>
      </c>
      <c r="X211" s="24">
        <f t="shared" si="285"/>
        <v>2.6086464463558174</v>
      </c>
      <c r="Y211" s="25">
        <f t="shared" si="315"/>
        <v>1</v>
      </c>
      <c r="Z211" s="24">
        <f t="shared" si="310"/>
        <v>8.2362646019857895</v>
      </c>
      <c r="AA211" s="21">
        <f t="shared" si="286"/>
        <v>0</v>
      </c>
      <c r="AB211" s="24">
        <f t="shared" si="322"/>
        <v>2.25</v>
      </c>
      <c r="AC211" s="24">
        <f t="shared" ref="AC211:AC272" si="331">rsam+rsag+IF(rsascr,rsascr-jibred*rsag,rsas-jibred*rsag)</f>
        <v>12.74376460198579</v>
      </c>
      <c r="AD211" s="58">
        <f t="shared" si="287"/>
        <v>260</v>
      </c>
      <c r="AE211" s="58">
        <f t="shared" si="288"/>
        <v>266</v>
      </c>
      <c r="AF211" s="21">
        <f t="shared" si="316"/>
        <v>2.5499999999999998</v>
      </c>
      <c r="AG211" s="77">
        <f t="shared" si="317"/>
        <v>0</v>
      </c>
      <c r="AH211" s="114">
        <f t="shared" si="311"/>
        <v>1.04</v>
      </c>
      <c r="AI211" s="59">
        <f t="shared" si="318"/>
        <v>140.96729141207001</v>
      </c>
      <c r="AJ211" s="59">
        <f t="shared" si="319"/>
        <v>131.36140278003015</v>
      </c>
      <c r="AK211" s="55"/>
      <c r="AL211" s="55">
        <v>1.72</v>
      </c>
      <c r="AM211" s="21">
        <f t="shared" si="289"/>
        <v>0</v>
      </c>
      <c r="AN211" s="54">
        <v>5.81</v>
      </c>
      <c r="AO211" s="55"/>
      <c r="AP211" s="21">
        <f t="shared" si="292"/>
        <v>0</v>
      </c>
      <c r="AQ211" s="55"/>
      <c r="AR211" s="55"/>
      <c r="AS211" s="21">
        <f t="shared" si="293"/>
        <v>0</v>
      </c>
      <c r="AT211" s="54"/>
      <c r="AU211" s="54"/>
      <c r="AV211" s="21">
        <f t="shared" si="294"/>
        <v>0</v>
      </c>
      <c r="AW211" s="54"/>
      <c r="AX211" s="54"/>
      <c r="AY211" s="21">
        <f t="shared" si="295"/>
        <v>0</v>
      </c>
      <c r="AZ211" s="54"/>
      <c r="BA211" s="54"/>
      <c r="BB211" s="21">
        <f t="shared" si="325"/>
        <v>0</v>
      </c>
      <c r="BC211" s="54"/>
      <c r="BD211" s="54"/>
      <c r="BE211" s="21">
        <f t="shared" si="326"/>
        <v>0</v>
      </c>
      <c r="BF211" s="55"/>
      <c r="BG211" s="55"/>
      <c r="BH211" s="21">
        <f t="shared" si="327"/>
        <v>0</v>
      </c>
      <c r="BI211" s="55"/>
      <c r="BJ211" s="55"/>
      <c r="BK211" s="21">
        <f t="shared" si="328"/>
        <v>0</v>
      </c>
      <c r="BL211" s="55"/>
      <c r="BM211" s="55"/>
      <c r="BN211" s="21">
        <f t="shared" si="329"/>
        <v>0</v>
      </c>
      <c r="BO211" s="55"/>
      <c r="BP211" s="55"/>
      <c r="BQ211" s="21">
        <f t="shared" si="330"/>
        <v>0</v>
      </c>
      <c r="BR211" s="55"/>
      <c r="BS211" s="21">
        <f t="shared" si="301"/>
        <v>0</v>
      </c>
      <c r="BT211" s="56"/>
      <c r="BU211" s="56"/>
      <c r="BV211" s="21">
        <f t="shared" si="302"/>
        <v>0</v>
      </c>
      <c r="BW211" s="77">
        <f t="shared" si="323"/>
        <v>0</v>
      </c>
      <c r="BX211" s="55"/>
      <c r="BY211" s="21">
        <f t="shared" si="303"/>
        <v>0</v>
      </c>
      <c r="BZ211" s="55"/>
      <c r="CA211" s="55"/>
      <c r="CB211" s="21">
        <f t="shared" si="309"/>
        <v>0</v>
      </c>
      <c r="CC211" s="55"/>
      <c r="CD211" s="55"/>
      <c r="CE211" s="21">
        <f t="shared" si="304"/>
        <v>0</v>
      </c>
      <c r="CF211" s="21"/>
      <c r="CG211" s="21"/>
      <c r="CH211" s="21">
        <f t="shared" si="324"/>
        <v>0</v>
      </c>
      <c r="CI211" s="25">
        <f t="shared" si="312"/>
        <v>2.5</v>
      </c>
      <c r="CJ211" s="54"/>
      <c r="CK211" s="21">
        <f t="shared" si="305"/>
        <v>0</v>
      </c>
      <c r="CL211" s="55"/>
      <c r="CM211" s="55"/>
      <c r="CN211" s="60"/>
      <c r="CO211" s="55" t="s">
        <v>517</v>
      </c>
      <c r="CP211" s="55"/>
      <c r="CQ211" s="55"/>
      <c r="CR211" s="55"/>
      <c r="CS211" s="55"/>
      <c r="CT211" s="55"/>
      <c r="CU211" s="55"/>
      <c r="CV211" s="55"/>
      <c r="CW211" s="55"/>
      <c r="CX211" s="55"/>
      <c r="CY211" s="21"/>
      <c r="CZ211" s="56"/>
      <c r="DA211" s="56"/>
      <c r="DB211" s="56"/>
      <c r="DC211" s="56"/>
      <c r="DD211" s="61">
        <f t="shared" si="313"/>
        <v>0</v>
      </c>
      <c r="DE211" s="21">
        <f t="shared" si="314"/>
        <v>0</v>
      </c>
      <c r="DF211" s="55">
        <v>9.2200000000000006</v>
      </c>
      <c r="DG211" s="55">
        <v>2.5</v>
      </c>
      <c r="DH211" s="55">
        <v>4</v>
      </c>
      <c r="DI211" s="55"/>
      <c r="DJ211" s="104"/>
      <c r="DK211" s="53"/>
      <c r="DM211" s="58">
        <f t="shared" si="273"/>
        <v>364.06891540991995</v>
      </c>
      <c r="DN211" s="58">
        <f t="shared" si="290"/>
        <v>510</v>
      </c>
      <c r="DO211" s="21">
        <f t="shared" si="291"/>
        <v>1.4008336839902147</v>
      </c>
      <c r="DP211" s="62">
        <f t="shared" ref="DP211:DP244" si="332">IF((1/DO211)^$DP$5&lt;1,1,(1/DO211)^$DP$5)</f>
        <v>1</v>
      </c>
      <c r="DQ211" s="7" t="s">
        <v>130</v>
      </c>
      <c r="DR211" s="107">
        <f t="shared" si="274"/>
        <v>0</v>
      </c>
    </row>
    <row r="212" spans="1:122" ht="12.75" customHeight="1" x14ac:dyDescent="0.2">
      <c r="A212" s="53" t="s">
        <v>557</v>
      </c>
      <c r="B212" s="54">
        <v>2</v>
      </c>
      <c r="C212" s="92">
        <f t="shared" si="320"/>
        <v>136.00839456708977</v>
      </c>
      <c r="D212" s="92">
        <f t="shared" si="321"/>
        <v>131.69874557077202</v>
      </c>
      <c r="E212" s="92">
        <f>VLOOKUP(A212,[3]TRTOTAL!$A$7:$D$313,3,FALSE)</f>
        <v>136.00839456708977</v>
      </c>
      <c r="F212" s="92">
        <f>VLOOKUP(A212,[3]TRTOTAL!$A$7:$D$313,4,FALSE)</f>
        <v>131.69874557077202</v>
      </c>
      <c r="G212" s="92">
        <f t="shared" si="307"/>
        <v>0</v>
      </c>
      <c r="H212" s="92">
        <f t="shared" si="308"/>
        <v>0</v>
      </c>
      <c r="I212" s="54">
        <v>4.2</v>
      </c>
      <c r="J212" s="56">
        <v>4.0999999999999996</v>
      </c>
      <c r="K212" s="54">
        <v>2.2000000000000002</v>
      </c>
      <c r="L212" s="57">
        <v>1</v>
      </c>
      <c r="M212" s="57">
        <v>125</v>
      </c>
      <c r="N212" s="57"/>
      <c r="O212" s="87" t="s">
        <v>133</v>
      </c>
      <c r="P212" s="24">
        <f t="shared" si="280"/>
        <v>10</v>
      </c>
      <c r="Q212" s="24">
        <f t="shared" si="279"/>
        <v>6.2</v>
      </c>
      <c r="R212" s="24">
        <f t="shared" si="281"/>
        <v>3.2</v>
      </c>
      <c r="S212" s="87">
        <v>6.8</v>
      </c>
      <c r="T212" s="21">
        <f t="shared" si="282"/>
        <v>4.05</v>
      </c>
      <c r="U212" s="21"/>
      <c r="V212" s="24">
        <f t="shared" si="283"/>
        <v>1.8599999999999999</v>
      </c>
      <c r="W212" s="24">
        <f t="shared" si="284"/>
        <v>2.02</v>
      </c>
      <c r="X212" s="24">
        <f t="shared" si="285"/>
        <v>2.4507401235173023</v>
      </c>
      <c r="Y212" s="25">
        <f t="shared" si="315"/>
        <v>1</v>
      </c>
      <c r="Z212" s="24">
        <f t="shared" si="310"/>
        <v>8.767261916641786</v>
      </c>
      <c r="AA212" s="21">
        <f t="shared" si="286"/>
        <v>0</v>
      </c>
      <c r="AB212" s="24">
        <f t="shared" si="322"/>
        <v>2.8800000000000003</v>
      </c>
      <c r="AC212" s="24">
        <f t="shared" si="331"/>
        <v>12.855361916641787</v>
      </c>
      <c r="AD212" s="58">
        <f t="shared" si="287"/>
        <v>265</v>
      </c>
      <c r="AE212" s="58">
        <f t="shared" si="288"/>
        <v>271</v>
      </c>
      <c r="AF212" s="21">
        <f t="shared" si="316"/>
        <v>1.5825</v>
      </c>
      <c r="AG212" s="77">
        <f t="shared" si="317"/>
        <v>0</v>
      </c>
      <c r="AH212" s="114">
        <f t="shared" si="311"/>
        <v>1.04</v>
      </c>
      <c r="AI212" s="59">
        <f t="shared" si="318"/>
        <v>136.00839456708977</v>
      </c>
      <c r="AJ212" s="59">
        <f t="shared" si="319"/>
        <v>131.69874557077202</v>
      </c>
      <c r="AK212" s="55"/>
      <c r="AL212" s="55"/>
      <c r="AM212" s="21">
        <f t="shared" si="289"/>
        <v>0</v>
      </c>
      <c r="AN212" s="54">
        <v>6.2</v>
      </c>
      <c r="AO212" s="55"/>
      <c r="AP212" s="21">
        <f t="shared" si="292"/>
        <v>0</v>
      </c>
      <c r="AQ212" s="55"/>
      <c r="AR212" s="55"/>
      <c r="AS212" s="21">
        <f t="shared" si="293"/>
        <v>0</v>
      </c>
      <c r="AT212" s="54"/>
      <c r="AU212" s="54"/>
      <c r="AV212" s="21">
        <f t="shared" si="294"/>
        <v>0</v>
      </c>
      <c r="AW212" s="54"/>
      <c r="AX212" s="54"/>
      <c r="AY212" s="21">
        <f t="shared" si="295"/>
        <v>0</v>
      </c>
      <c r="AZ212" s="54"/>
      <c r="BA212" s="54"/>
      <c r="BB212" s="21">
        <f t="shared" si="325"/>
        <v>0</v>
      </c>
      <c r="BC212" s="54"/>
      <c r="BD212" s="54"/>
      <c r="BE212" s="21">
        <f t="shared" si="326"/>
        <v>0</v>
      </c>
      <c r="BF212" s="55"/>
      <c r="BG212" s="55"/>
      <c r="BH212" s="21">
        <f t="shared" si="327"/>
        <v>0</v>
      </c>
      <c r="BI212" s="55"/>
      <c r="BJ212" s="55"/>
      <c r="BK212" s="21">
        <f t="shared" si="328"/>
        <v>0</v>
      </c>
      <c r="BL212" s="55"/>
      <c r="BM212" s="55"/>
      <c r="BN212" s="21">
        <f t="shared" si="329"/>
        <v>0</v>
      </c>
      <c r="BO212" s="55"/>
      <c r="BP212" s="55"/>
      <c r="BQ212" s="21">
        <f t="shared" si="330"/>
        <v>0</v>
      </c>
      <c r="BR212" s="55"/>
      <c r="BS212" s="21">
        <f t="shared" si="301"/>
        <v>0</v>
      </c>
      <c r="BT212" s="56"/>
      <c r="BU212" s="56"/>
      <c r="BV212" s="21">
        <f t="shared" si="302"/>
        <v>0</v>
      </c>
      <c r="BW212" s="77">
        <f t="shared" si="323"/>
        <v>0</v>
      </c>
      <c r="BX212" s="55"/>
      <c r="BY212" s="21">
        <f t="shared" si="303"/>
        <v>0</v>
      </c>
      <c r="BZ212" s="55"/>
      <c r="CA212" s="55"/>
      <c r="CB212" s="21">
        <f t="shared" si="309"/>
        <v>0</v>
      </c>
      <c r="CC212" s="55"/>
      <c r="CD212" s="55"/>
      <c r="CE212" s="21">
        <f t="shared" si="304"/>
        <v>0</v>
      </c>
      <c r="CF212" s="21"/>
      <c r="CG212" s="21"/>
      <c r="CH212" s="21">
        <f t="shared" si="324"/>
        <v>0</v>
      </c>
      <c r="CI212" s="25">
        <f t="shared" si="312"/>
        <v>3.2</v>
      </c>
      <c r="CJ212" s="54"/>
      <c r="CK212" s="21">
        <f t="shared" si="305"/>
        <v>0</v>
      </c>
      <c r="CL212" s="55"/>
      <c r="CM212" s="55"/>
      <c r="CN212" s="60">
        <v>43520</v>
      </c>
      <c r="CO212" s="55" t="s">
        <v>517</v>
      </c>
      <c r="CP212" s="55"/>
      <c r="CQ212" s="55"/>
      <c r="CR212" s="55"/>
      <c r="CS212" s="55"/>
      <c r="CT212" s="55"/>
      <c r="CU212" s="55"/>
      <c r="CV212" s="55"/>
      <c r="CW212" s="55"/>
      <c r="CX212" s="55"/>
      <c r="CY212" s="21"/>
      <c r="CZ212" s="56"/>
      <c r="DA212" s="56"/>
      <c r="DB212" s="56"/>
      <c r="DC212" s="56"/>
      <c r="DD212" s="61">
        <f t="shared" si="313"/>
        <v>0</v>
      </c>
      <c r="DE212" s="21">
        <f t="shared" si="314"/>
        <v>10.55</v>
      </c>
      <c r="DF212" s="55">
        <v>10</v>
      </c>
      <c r="DG212" s="55">
        <v>3.2</v>
      </c>
      <c r="DH212" s="55">
        <v>4.05</v>
      </c>
      <c r="DI212" s="55">
        <v>10.55</v>
      </c>
      <c r="DJ212" s="104"/>
      <c r="DK212" s="53"/>
      <c r="DM212" s="58">
        <f t="shared" si="273"/>
        <v>422.27310182399998</v>
      </c>
      <c r="DN212" s="58">
        <f t="shared" si="290"/>
        <v>515.5</v>
      </c>
      <c r="DO212" s="21">
        <f t="shared" si="291"/>
        <v>1.2207739440975718</v>
      </c>
      <c r="DP212" s="62">
        <f t="shared" si="332"/>
        <v>1</v>
      </c>
      <c r="DQ212" s="7">
        <v>0</v>
      </c>
      <c r="DR212" s="107">
        <f t="shared" si="274"/>
        <v>0</v>
      </c>
    </row>
    <row r="213" spans="1:122" ht="12.75" customHeight="1" x14ac:dyDescent="0.2">
      <c r="A213" s="53" t="s">
        <v>396</v>
      </c>
      <c r="B213" s="54">
        <v>2</v>
      </c>
      <c r="C213" s="92">
        <f t="shared" si="320"/>
        <v>136.15359090599702</v>
      </c>
      <c r="D213" s="92">
        <f t="shared" si="321"/>
        <v>127.18873025683224</v>
      </c>
      <c r="E213" s="92">
        <f>VLOOKUP(A213,[3]TRTOTAL!$A$7:$D$313,3,FALSE)</f>
        <v>136.15359090599702</v>
      </c>
      <c r="F213" s="92">
        <f>VLOOKUP(A213,[3]TRTOTAL!$A$7:$D$313,4,FALSE)</f>
        <v>127.18873025683224</v>
      </c>
      <c r="G213" s="92">
        <f t="shared" si="307"/>
        <v>0</v>
      </c>
      <c r="H213" s="92">
        <f t="shared" si="308"/>
        <v>0</v>
      </c>
      <c r="I213" s="54">
        <v>4.5</v>
      </c>
      <c r="J213" s="56">
        <v>4.4000000000000004</v>
      </c>
      <c r="K213" s="54">
        <v>2</v>
      </c>
      <c r="L213" s="57">
        <v>1</v>
      </c>
      <c r="M213" s="57">
        <v>125</v>
      </c>
      <c r="N213" s="57"/>
      <c r="O213" s="87" t="s">
        <v>133</v>
      </c>
      <c r="P213" s="24">
        <f t="shared" si="280"/>
        <v>10.378833333333333</v>
      </c>
      <c r="Q213" s="24">
        <f t="shared" si="279"/>
        <v>6.52</v>
      </c>
      <c r="R213" s="24">
        <f t="shared" si="281"/>
        <v>2.46875</v>
      </c>
      <c r="S213" s="87">
        <v>6.8</v>
      </c>
      <c r="T213" s="21">
        <f t="shared" si="282"/>
        <v>3.7130000000000001</v>
      </c>
      <c r="U213" s="21"/>
      <c r="V213" s="24">
        <f t="shared" si="283"/>
        <v>1.9</v>
      </c>
      <c r="W213" s="24">
        <f t="shared" si="284"/>
        <v>2.04</v>
      </c>
      <c r="X213" s="24">
        <f t="shared" si="285"/>
        <v>2.4939526464180442</v>
      </c>
      <c r="Y213" s="25">
        <f t="shared" si="315"/>
        <v>0.98150539071521214</v>
      </c>
      <c r="Z213" s="24">
        <f t="shared" si="310"/>
        <v>8.9780597388831005</v>
      </c>
      <c r="AA213" s="21">
        <f t="shared" si="286"/>
        <v>1.58</v>
      </c>
      <c r="AB213" s="24">
        <f t="shared" si="322"/>
        <v>2.0389507489874026</v>
      </c>
      <c r="AC213" s="24">
        <f t="shared" si="331"/>
        <v>13.301946890502141</v>
      </c>
      <c r="AD213" s="58">
        <f t="shared" si="287"/>
        <v>265</v>
      </c>
      <c r="AE213" s="58">
        <f t="shared" si="288"/>
        <v>271</v>
      </c>
      <c r="AF213" s="21">
        <f t="shared" si="316"/>
        <v>2.5499999999999998</v>
      </c>
      <c r="AG213" s="77">
        <f t="shared" si="317"/>
        <v>0</v>
      </c>
      <c r="AH213" s="114">
        <f t="shared" si="311"/>
        <v>1.04</v>
      </c>
      <c r="AI213" s="59">
        <f t="shared" si="318"/>
        <v>136.15359090599702</v>
      </c>
      <c r="AJ213" s="59">
        <f t="shared" si="319"/>
        <v>127.18873025683224</v>
      </c>
      <c r="AK213" s="55">
        <v>6.52</v>
      </c>
      <c r="AL213" s="55"/>
      <c r="AM213" s="21">
        <f t="shared" si="289"/>
        <v>0</v>
      </c>
      <c r="AN213" s="54">
        <v>6.52</v>
      </c>
      <c r="AO213" s="55"/>
      <c r="AP213" s="21">
        <f t="shared" si="292"/>
        <v>0</v>
      </c>
      <c r="AQ213" s="55"/>
      <c r="AR213" s="55"/>
      <c r="AS213" s="21">
        <f t="shared" si="293"/>
        <v>0</v>
      </c>
      <c r="AT213" s="54"/>
      <c r="AU213" s="54"/>
      <c r="AV213" s="21">
        <f t="shared" si="294"/>
        <v>0</v>
      </c>
      <c r="AW213" s="54"/>
      <c r="AX213" s="54"/>
      <c r="AY213" s="21">
        <f t="shared" si="295"/>
        <v>0</v>
      </c>
      <c r="AZ213" s="54"/>
      <c r="BA213" s="54"/>
      <c r="BB213" s="21">
        <f t="shared" si="325"/>
        <v>0</v>
      </c>
      <c r="BC213" s="54"/>
      <c r="BD213" s="54"/>
      <c r="BE213" s="21">
        <f t="shared" si="326"/>
        <v>0</v>
      </c>
      <c r="BF213" s="55"/>
      <c r="BG213" s="55"/>
      <c r="BH213" s="21">
        <f t="shared" si="327"/>
        <v>0</v>
      </c>
      <c r="BI213" s="55"/>
      <c r="BJ213" s="55"/>
      <c r="BK213" s="21">
        <f t="shared" si="328"/>
        <v>0</v>
      </c>
      <c r="BL213" s="55"/>
      <c r="BM213" s="55"/>
      <c r="BN213" s="21">
        <f t="shared" si="329"/>
        <v>0</v>
      </c>
      <c r="BO213" s="55"/>
      <c r="BP213" s="55"/>
      <c r="BQ213" s="21">
        <f t="shared" si="330"/>
        <v>0</v>
      </c>
      <c r="BR213" s="55"/>
      <c r="BS213" s="21">
        <f t="shared" si="301"/>
        <v>0</v>
      </c>
      <c r="BT213" s="56">
        <v>3.95</v>
      </c>
      <c r="BU213" s="56">
        <v>1.25</v>
      </c>
      <c r="BV213" s="21">
        <f t="shared" si="302"/>
        <v>2.46875</v>
      </c>
      <c r="BW213" s="77">
        <f t="shared" si="323"/>
        <v>3.95</v>
      </c>
      <c r="BX213" s="55"/>
      <c r="BY213" s="21">
        <f t="shared" si="303"/>
        <v>0</v>
      </c>
      <c r="BZ213" s="55"/>
      <c r="CA213" s="55"/>
      <c r="CB213" s="21">
        <f t="shared" si="309"/>
        <v>0</v>
      </c>
      <c r="CC213" s="55"/>
      <c r="CD213" s="55"/>
      <c r="CE213" s="21">
        <f t="shared" si="304"/>
        <v>0</v>
      </c>
      <c r="CF213" s="21"/>
      <c r="CG213" s="21"/>
      <c r="CH213" s="21">
        <f t="shared" si="324"/>
        <v>0</v>
      </c>
      <c r="CI213" s="25">
        <f t="shared" si="312"/>
        <v>2.46875</v>
      </c>
      <c r="CJ213" s="54">
        <v>0.28000000000000003</v>
      </c>
      <c r="CK213" s="21">
        <f t="shared" si="305"/>
        <v>0.95200000000000007</v>
      </c>
      <c r="CL213" s="55"/>
      <c r="CM213" s="55"/>
      <c r="CN213" s="60"/>
      <c r="CO213" s="55" t="s">
        <v>366</v>
      </c>
      <c r="CP213" s="55"/>
      <c r="CQ213" s="55"/>
      <c r="CR213" s="55"/>
      <c r="CS213" s="55"/>
      <c r="CT213" s="55">
        <v>0.12</v>
      </c>
      <c r="CU213" s="55">
        <v>1.02</v>
      </c>
      <c r="CV213" s="55">
        <v>1.85</v>
      </c>
      <c r="CW213" s="55">
        <v>1.9</v>
      </c>
      <c r="CX213" s="55">
        <v>1.85</v>
      </c>
      <c r="CY213" s="21">
        <f t="shared" ref="CY213:CY218" si="333">(CT213+4*CU213+2*CV213+4*CW213+CX213)*AN213/12</f>
        <v>9.4268333333333327</v>
      </c>
      <c r="CZ213" s="56"/>
      <c r="DA213" s="56"/>
      <c r="DB213" s="56"/>
      <c r="DC213" s="56"/>
      <c r="DD213" s="61">
        <f t="shared" si="313"/>
        <v>0</v>
      </c>
      <c r="DE213" s="21">
        <f t="shared" si="314"/>
        <v>0</v>
      </c>
      <c r="DF213" s="55"/>
      <c r="DG213" s="55"/>
      <c r="DH213" s="55"/>
      <c r="DI213" s="55"/>
      <c r="DJ213" s="104"/>
      <c r="DK213" s="53"/>
      <c r="DM213" s="58">
        <f t="shared" si="273"/>
        <v>429.81397925009588</v>
      </c>
      <c r="DN213" s="58">
        <f t="shared" si="290"/>
        <v>475</v>
      </c>
      <c r="DO213" s="21">
        <f t="shared" si="291"/>
        <v>1.1051292487711568</v>
      </c>
      <c r="DP213" s="62">
        <f t="shared" si="332"/>
        <v>1</v>
      </c>
      <c r="DQ213" s="7">
        <v>0</v>
      </c>
      <c r="DR213" s="107">
        <f t="shared" si="274"/>
        <v>0</v>
      </c>
    </row>
    <row r="214" spans="1:122" ht="12.75" customHeight="1" x14ac:dyDescent="0.2">
      <c r="A214" s="53" t="s">
        <v>397</v>
      </c>
      <c r="B214" s="54">
        <v>2</v>
      </c>
      <c r="C214" s="92">
        <f t="shared" si="320"/>
        <v>115.00498082950479</v>
      </c>
      <c r="D214" s="92">
        <f t="shared" si="321"/>
        <v>109.32373852148703</v>
      </c>
      <c r="E214" s="92">
        <f>VLOOKUP(A214,[3]TRTOTAL!$A$7:$D$313,3,FALSE)</f>
        <v>115.00498082950479</v>
      </c>
      <c r="F214" s="92">
        <f>VLOOKUP(A214,[3]TRTOTAL!$A$7:$D$313,4,FALSE)</f>
        <v>109.32373852148703</v>
      </c>
      <c r="G214" s="92">
        <f t="shared" si="307"/>
        <v>0</v>
      </c>
      <c r="H214" s="92">
        <f t="shared" si="308"/>
        <v>0</v>
      </c>
      <c r="I214" s="54">
        <v>5.4</v>
      </c>
      <c r="J214" s="56">
        <v>5.3</v>
      </c>
      <c r="K214" s="54">
        <v>2.2999999999999998</v>
      </c>
      <c r="L214" s="57">
        <v>2</v>
      </c>
      <c r="M214" s="57">
        <v>170</v>
      </c>
      <c r="N214" s="57"/>
      <c r="O214" s="87" t="s">
        <v>133</v>
      </c>
      <c r="P214" s="24">
        <f t="shared" si="280"/>
        <v>16</v>
      </c>
      <c r="Q214" s="24">
        <f t="shared" si="279"/>
        <v>8</v>
      </c>
      <c r="R214" s="24">
        <f t="shared" si="281"/>
        <v>4</v>
      </c>
      <c r="S214" s="87">
        <v>8.4</v>
      </c>
      <c r="T214" s="21">
        <f t="shared" si="282"/>
        <v>5</v>
      </c>
      <c r="U214" s="21"/>
      <c r="V214" s="24">
        <f t="shared" si="283"/>
        <v>2.4</v>
      </c>
      <c r="W214" s="24">
        <f t="shared" si="284"/>
        <v>2.56</v>
      </c>
      <c r="X214" s="24">
        <f t="shared" si="285"/>
        <v>2.44140625</v>
      </c>
      <c r="Y214" s="25">
        <f t="shared" si="315"/>
        <v>1</v>
      </c>
      <c r="Z214" s="24">
        <f t="shared" si="310"/>
        <v>14.011570004723062</v>
      </c>
      <c r="AA214" s="21">
        <f t="shared" si="286"/>
        <v>0</v>
      </c>
      <c r="AB214" s="24">
        <f t="shared" si="322"/>
        <v>3.6</v>
      </c>
      <c r="AC214" s="24">
        <f t="shared" si="331"/>
        <v>20.293570004723062</v>
      </c>
      <c r="AD214" s="58">
        <f t="shared" si="287"/>
        <v>320</v>
      </c>
      <c r="AE214" s="58">
        <f t="shared" si="288"/>
        <v>326</v>
      </c>
      <c r="AF214" s="21">
        <f t="shared" si="316"/>
        <v>3.15</v>
      </c>
      <c r="AG214" s="77">
        <f t="shared" si="317"/>
        <v>0</v>
      </c>
      <c r="AH214" s="114">
        <f t="shared" si="311"/>
        <v>1.04</v>
      </c>
      <c r="AI214" s="59">
        <f t="shared" si="318"/>
        <v>113.4768447567791</v>
      </c>
      <c r="AJ214" s="59">
        <f t="shared" si="319"/>
        <v>107.8710923209926</v>
      </c>
      <c r="AK214" s="55"/>
      <c r="AL214" s="55"/>
      <c r="AM214" s="21">
        <f t="shared" si="289"/>
        <v>0</v>
      </c>
      <c r="AN214" s="54">
        <v>8</v>
      </c>
      <c r="AO214" s="55"/>
      <c r="AP214" s="21">
        <f t="shared" si="292"/>
        <v>0</v>
      </c>
      <c r="AQ214" s="55"/>
      <c r="AR214" s="55"/>
      <c r="AS214" s="21">
        <f t="shared" si="293"/>
        <v>0</v>
      </c>
      <c r="AT214" s="54"/>
      <c r="AU214" s="54"/>
      <c r="AV214" s="21">
        <f t="shared" si="294"/>
        <v>0</v>
      </c>
      <c r="AW214" s="54"/>
      <c r="AX214" s="54"/>
      <c r="AY214" s="21">
        <f t="shared" si="295"/>
        <v>0</v>
      </c>
      <c r="AZ214" s="54"/>
      <c r="BA214" s="54"/>
      <c r="BB214" s="21">
        <f t="shared" si="325"/>
        <v>0</v>
      </c>
      <c r="BC214" s="54"/>
      <c r="BD214" s="54"/>
      <c r="BE214" s="21">
        <f t="shared" si="326"/>
        <v>0</v>
      </c>
      <c r="BF214" s="55"/>
      <c r="BG214" s="55"/>
      <c r="BH214" s="21">
        <f t="shared" si="327"/>
        <v>0</v>
      </c>
      <c r="BI214" s="55"/>
      <c r="BJ214" s="55"/>
      <c r="BK214" s="21">
        <f t="shared" si="328"/>
        <v>0</v>
      </c>
      <c r="BL214" s="55"/>
      <c r="BM214" s="55"/>
      <c r="BN214" s="21">
        <f t="shared" si="329"/>
        <v>0</v>
      </c>
      <c r="BO214" s="55"/>
      <c r="BP214" s="55"/>
      <c r="BQ214" s="21">
        <f t="shared" si="330"/>
        <v>0</v>
      </c>
      <c r="BR214" s="55"/>
      <c r="BS214" s="21">
        <f t="shared" si="301"/>
        <v>0</v>
      </c>
      <c r="BT214" s="56">
        <v>0</v>
      </c>
      <c r="BU214" s="56"/>
      <c r="BV214" s="21">
        <f t="shared" si="302"/>
        <v>0</v>
      </c>
      <c r="BW214" s="77">
        <f t="shared" si="323"/>
        <v>0</v>
      </c>
      <c r="BX214" s="55"/>
      <c r="BY214" s="21">
        <f t="shared" si="303"/>
        <v>0</v>
      </c>
      <c r="BZ214" s="55"/>
      <c r="CA214" s="55"/>
      <c r="CB214" s="21">
        <f t="shared" si="309"/>
        <v>0</v>
      </c>
      <c r="CC214" s="54"/>
      <c r="CD214" s="54"/>
      <c r="CE214" s="21">
        <f t="shared" si="304"/>
        <v>0</v>
      </c>
      <c r="CF214" s="21"/>
      <c r="CG214" s="21"/>
      <c r="CH214" s="21">
        <f t="shared" si="324"/>
        <v>0</v>
      </c>
      <c r="CI214" s="25">
        <f t="shared" si="312"/>
        <v>4</v>
      </c>
      <c r="CJ214" s="54"/>
      <c r="CK214" s="21">
        <f t="shared" si="305"/>
        <v>0</v>
      </c>
      <c r="CL214" s="55"/>
      <c r="CM214" s="55"/>
      <c r="CN214" s="60"/>
      <c r="CO214" s="55"/>
      <c r="CP214" s="55"/>
      <c r="CQ214" s="55"/>
      <c r="CR214" s="55"/>
      <c r="CS214" s="55"/>
      <c r="CT214" s="55"/>
      <c r="CU214" s="55"/>
      <c r="CV214" s="55"/>
      <c r="CW214" s="55"/>
      <c r="CX214" s="55"/>
      <c r="CY214" s="21">
        <f t="shared" si="333"/>
        <v>0</v>
      </c>
      <c r="CZ214" s="56"/>
      <c r="DA214" s="56"/>
      <c r="DB214" s="56"/>
      <c r="DC214" s="56"/>
      <c r="DD214" s="61">
        <f t="shared" si="313"/>
        <v>0</v>
      </c>
      <c r="DE214" s="21">
        <f t="shared" si="314"/>
        <v>0</v>
      </c>
      <c r="DF214" s="55">
        <v>16</v>
      </c>
      <c r="DG214" s="55">
        <v>4</v>
      </c>
      <c r="DH214" s="55">
        <v>5</v>
      </c>
      <c r="DI214" s="55"/>
      <c r="DJ214" s="104"/>
      <c r="DK214" s="53"/>
      <c r="DM214" s="58">
        <f t="shared" si="273"/>
        <v>779.78772479999975</v>
      </c>
      <c r="DN214" s="58">
        <f t="shared" si="290"/>
        <v>690.5</v>
      </c>
      <c r="DO214" s="21">
        <f t="shared" si="291"/>
        <v>0.88549739632936608</v>
      </c>
      <c r="DP214" s="62">
        <f t="shared" si="332"/>
        <v>1.0134665012584816</v>
      </c>
      <c r="DQ214" s="7">
        <v>0</v>
      </c>
      <c r="DR214" s="107">
        <f t="shared" si="274"/>
        <v>0</v>
      </c>
    </row>
    <row r="215" spans="1:122" ht="12.75" customHeight="1" x14ac:dyDescent="0.2">
      <c r="A215" s="53" t="s">
        <v>398</v>
      </c>
      <c r="B215" s="54">
        <v>1</v>
      </c>
      <c r="C215" s="92">
        <f t="shared" si="320"/>
        <v>125.11295874364774</v>
      </c>
      <c r="D215" s="92">
        <f t="shared" si="321"/>
        <v>116.72651346200354</v>
      </c>
      <c r="E215" s="92">
        <f>VLOOKUP(A215,[3]TRTOTAL!$A$7:$D$313,3,FALSE)</f>
        <v>125.11295874364774</v>
      </c>
      <c r="F215" s="92">
        <f>VLOOKUP(A215,[3]TRTOTAL!$A$7:$D$313,4,FALSE)</f>
        <v>116.72651346200354</v>
      </c>
      <c r="G215" s="92">
        <f t="shared" si="307"/>
        <v>0</v>
      </c>
      <c r="H215" s="92">
        <f t="shared" si="308"/>
        <v>0</v>
      </c>
      <c r="I215" s="54">
        <v>4.2699999999999996</v>
      </c>
      <c r="J215" s="56">
        <v>4.0999999999999996</v>
      </c>
      <c r="K215" s="54">
        <v>2.133</v>
      </c>
      <c r="L215" s="57">
        <v>1</v>
      </c>
      <c r="M215" s="57">
        <v>73</v>
      </c>
      <c r="N215" s="57"/>
      <c r="O215" s="87"/>
      <c r="P215" s="24">
        <f t="shared" si="280"/>
        <v>9.3000000000000007</v>
      </c>
      <c r="Q215" s="24">
        <f t="shared" si="279"/>
        <v>6.0960000000000001</v>
      </c>
      <c r="R215" s="24">
        <f t="shared" si="281"/>
        <v>0</v>
      </c>
      <c r="S215" s="87">
        <v>6.4</v>
      </c>
      <c r="T215" s="21">
        <f t="shared" si="282"/>
        <v>0</v>
      </c>
      <c r="U215" s="21"/>
      <c r="V215" s="24">
        <f t="shared" si="283"/>
        <v>1.8288</v>
      </c>
      <c r="W215" s="24">
        <f t="shared" si="284"/>
        <v>1.9887999999999999</v>
      </c>
      <c r="X215" s="24">
        <f t="shared" si="285"/>
        <v>2.3512603807387342</v>
      </c>
      <c r="Y215" s="25">
        <f t="shared" si="315"/>
        <v>1</v>
      </c>
      <c r="Z215" s="24">
        <f t="shared" si="310"/>
        <v>8.0528195804497162</v>
      </c>
      <c r="AA215" s="21">
        <f t="shared" si="286"/>
        <v>0</v>
      </c>
      <c r="AB215" s="24">
        <f t="shared" si="322"/>
        <v>0</v>
      </c>
      <c r="AC215" s="24">
        <f t="shared" si="331"/>
        <v>10.152819580449716</v>
      </c>
      <c r="AD215" s="58">
        <f t="shared" si="287"/>
        <v>143</v>
      </c>
      <c r="AE215" s="58">
        <f t="shared" si="288"/>
        <v>149</v>
      </c>
      <c r="AF215" s="21">
        <f t="shared" si="316"/>
        <v>2.1</v>
      </c>
      <c r="AG215" s="77">
        <f t="shared" si="317"/>
        <v>0</v>
      </c>
      <c r="AH215" s="114">
        <f t="shared" si="311"/>
        <v>1</v>
      </c>
      <c r="AI215" s="59">
        <f t="shared" si="318"/>
        <v>124.04293316935944</v>
      </c>
      <c r="AJ215" s="59">
        <f t="shared" si="319"/>
        <v>114.58238887082555</v>
      </c>
      <c r="AK215" s="55"/>
      <c r="AL215" s="55"/>
      <c r="AM215" s="21">
        <f t="shared" si="289"/>
        <v>0</v>
      </c>
      <c r="AN215" s="54">
        <v>6.0960000000000001</v>
      </c>
      <c r="AO215" s="55"/>
      <c r="AP215" s="21">
        <f t="shared" si="292"/>
        <v>0</v>
      </c>
      <c r="AQ215" s="55"/>
      <c r="AR215" s="55"/>
      <c r="AS215" s="21">
        <f t="shared" si="293"/>
        <v>0</v>
      </c>
      <c r="AT215" s="54"/>
      <c r="AU215" s="54"/>
      <c r="AV215" s="21">
        <f t="shared" si="294"/>
        <v>0</v>
      </c>
      <c r="AW215" s="54"/>
      <c r="AX215" s="54"/>
      <c r="AY215" s="21">
        <f t="shared" si="295"/>
        <v>0</v>
      </c>
      <c r="AZ215" s="54"/>
      <c r="BA215" s="54"/>
      <c r="BB215" s="21">
        <f t="shared" si="325"/>
        <v>0</v>
      </c>
      <c r="BC215" s="54"/>
      <c r="BD215" s="54"/>
      <c r="BE215" s="21">
        <f t="shared" si="326"/>
        <v>0</v>
      </c>
      <c r="BF215" s="55"/>
      <c r="BG215" s="55"/>
      <c r="BH215" s="21">
        <f t="shared" si="327"/>
        <v>0</v>
      </c>
      <c r="BI215" s="55"/>
      <c r="BJ215" s="55"/>
      <c r="BK215" s="21">
        <f t="shared" si="328"/>
        <v>0</v>
      </c>
      <c r="BL215" s="55"/>
      <c r="BM215" s="55"/>
      <c r="BN215" s="21">
        <f t="shared" si="329"/>
        <v>0</v>
      </c>
      <c r="BO215" s="55"/>
      <c r="BP215" s="55"/>
      <c r="BQ215" s="21">
        <f t="shared" si="330"/>
        <v>0</v>
      </c>
      <c r="BR215" s="55"/>
      <c r="BS215" s="21">
        <f t="shared" si="301"/>
        <v>0</v>
      </c>
      <c r="BT215" s="56">
        <v>0</v>
      </c>
      <c r="BU215" s="56"/>
      <c r="BV215" s="21">
        <f t="shared" si="302"/>
        <v>0</v>
      </c>
      <c r="BW215" s="77">
        <f t="shared" si="323"/>
        <v>0</v>
      </c>
      <c r="BX215" s="55"/>
      <c r="BY215" s="21">
        <f t="shared" si="303"/>
        <v>0</v>
      </c>
      <c r="BZ215" s="55"/>
      <c r="CA215" s="55"/>
      <c r="CB215" s="21">
        <f t="shared" si="309"/>
        <v>0</v>
      </c>
      <c r="CC215" s="55"/>
      <c r="CD215" s="55"/>
      <c r="CE215" s="21">
        <f t="shared" si="304"/>
        <v>0</v>
      </c>
      <c r="CF215" s="21"/>
      <c r="CG215" s="21"/>
      <c r="CH215" s="21">
        <f t="shared" si="324"/>
        <v>0</v>
      </c>
      <c r="CI215" s="25">
        <f t="shared" si="312"/>
        <v>0</v>
      </c>
      <c r="CJ215" s="54"/>
      <c r="CK215" s="21">
        <f t="shared" si="305"/>
        <v>0</v>
      </c>
      <c r="CL215" s="55"/>
      <c r="CM215" s="55"/>
      <c r="CN215" s="60"/>
      <c r="CO215" s="55"/>
      <c r="CP215" s="55"/>
      <c r="CQ215" s="55"/>
      <c r="CR215" s="55"/>
      <c r="CS215" s="55"/>
      <c r="CT215" s="55"/>
      <c r="CU215" s="55"/>
      <c r="CV215" s="55"/>
      <c r="CW215" s="55"/>
      <c r="CX215" s="55"/>
      <c r="CY215" s="21">
        <f t="shared" si="333"/>
        <v>0</v>
      </c>
      <c r="CZ215" s="56"/>
      <c r="DA215" s="56"/>
      <c r="DB215" s="56"/>
      <c r="DC215" s="56"/>
      <c r="DD215" s="61">
        <f t="shared" si="313"/>
        <v>0</v>
      </c>
      <c r="DE215" s="21">
        <f t="shared" si="314"/>
        <v>0</v>
      </c>
      <c r="DF215" s="55">
        <v>9.3000000000000007</v>
      </c>
      <c r="DG215" s="55"/>
      <c r="DH215" s="55"/>
      <c r="DI215" s="55"/>
      <c r="DJ215" s="104"/>
      <c r="DK215" s="53" t="s">
        <v>532</v>
      </c>
      <c r="DM215" s="58">
        <f t="shared" si="273"/>
        <v>321.29831559167997</v>
      </c>
      <c r="DN215" s="58">
        <f t="shared" si="290"/>
        <v>297.16449999999998</v>
      </c>
      <c r="DO215" s="21">
        <f t="shared" si="291"/>
        <v>0.92488657916790851</v>
      </c>
      <c r="DP215" s="62">
        <f t="shared" si="332"/>
        <v>1.008626251789994</v>
      </c>
      <c r="DQ215" s="7" t="s">
        <v>130</v>
      </c>
      <c r="DR215" s="107">
        <f t="shared" si="274"/>
        <v>0</v>
      </c>
    </row>
    <row r="216" spans="1:122" ht="12.75" customHeight="1" x14ac:dyDescent="0.2">
      <c r="A216" s="53" t="s">
        <v>399</v>
      </c>
      <c r="B216" s="54">
        <v>1</v>
      </c>
      <c r="C216" s="92">
        <f t="shared" si="320"/>
        <v>128.23247598083336</v>
      </c>
      <c r="D216" s="92">
        <f t="shared" si="321"/>
        <v>122.71212680287464</v>
      </c>
      <c r="E216" s="92">
        <f>VLOOKUP(A216,[3]TRTOTAL!$A$7:$D$313,3,FALSE)</f>
        <v>128.23247598083336</v>
      </c>
      <c r="F216" s="92">
        <f>VLOOKUP(A216,[3]TRTOTAL!$A$7:$D$313,4,FALSE)</f>
        <v>122.71212680287464</v>
      </c>
      <c r="G216" s="92">
        <f t="shared" si="307"/>
        <v>0</v>
      </c>
      <c r="H216" s="92">
        <f t="shared" si="308"/>
        <v>0</v>
      </c>
      <c r="I216" s="54">
        <v>4.3</v>
      </c>
      <c r="J216" s="56">
        <v>4.0999999999999996</v>
      </c>
      <c r="K216" s="54">
        <v>2</v>
      </c>
      <c r="L216" s="57">
        <v>1</v>
      </c>
      <c r="M216" s="57">
        <v>100</v>
      </c>
      <c r="N216" s="57"/>
      <c r="O216" s="87" t="s">
        <v>133</v>
      </c>
      <c r="P216" s="24">
        <f t="shared" si="280"/>
        <v>8.5</v>
      </c>
      <c r="Q216" s="24">
        <f t="shared" si="279"/>
        <v>6</v>
      </c>
      <c r="R216" s="24">
        <f t="shared" si="281"/>
        <v>3</v>
      </c>
      <c r="S216" s="87">
        <v>6.4</v>
      </c>
      <c r="T216" s="21">
        <f t="shared" si="282"/>
        <v>4.5</v>
      </c>
      <c r="U216" s="21"/>
      <c r="V216" s="24">
        <f t="shared" si="283"/>
        <v>1.7999999999999998</v>
      </c>
      <c r="W216" s="24">
        <f t="shared" si="284"/>
        <v>1.9599999999999997</v>
      </c>
      <c r="X216" s="24">
        <f t="shared" si="285"/>
        <v>2.2126197417742612</v>
      </c>
      <c r="Y216" s="25">
        <f t="shared" si="315"/>
        <v>1</v>
      </c>
      <c r="Z216" s="24">
        <f t="shared" si="310"/>
        <v>7.2271282782328292</v>
      </c>
      <c r="AA216" s="21">
        <f t="shared" si="286"/>
        <v>0</v>
      </c>
      <c r="AB216" s="24">
        <f t="shared" si="322"/>
        <v>2.7</v>
      </c>
      <c r="AC216" s="24">
        <f t="shared" si="331"/>
        <v>11.676128278232829</v>
      </c>
      <c r="AD216" s="58">
        <f t="shared" si="287"/>
        <v>175</v>
      </c>
      <c r="AE216" s="58">
        <f t="shared" si="288"/>
        <v>181</v>
      </c>
      <c r="AF216" s="21">
        <f t="shared" si="316"/>
        <v>2.1</v>
      </c>
      <c r="AG216" s="77">
        <f t="shared" si="317"/>
        <v>0</v>
      </c>
      <c r="AH216" s="114">
        <f t="shared" si="311"/>
        <v>1.04</v>
      </c>
      <c r="AI216" s="59">
        <f t="shared" si="318"/>
        <v>126.6946436147346</v>
      </c>
      <c r="AJ216" s="59">
        <f t="shared" si="319"/>
        <v>120.04009644912877</v>
      </c>
      <c r="AK216" s="55">
        <v>7.05</v>
      </c>
      <c r="AL216" s="55"/>
      <c r="AM216" s="21">
        <f t="shared" si="289"/>
        <v>0</v>
      </c>
      <c r="AN216" s="54">
        <v>6</v>
      </c>
      <c r="AO216" s="55"/>
      <c r="AP216" s="21">
        <f t="shared" si="292"/>
        <v>0</v>
      </c>
      <c r="AQ216" s="55"/>
      <c r="AR216" s="55"/>
      <c r="AS216" s="21">
        <f t="shared" si="293"/>
        <v>0</v>
      </c>
      <c r="AT216" s="54"/>
      <c r="AU216" s="54"/>
      <c r="AV216" s="21">
        <f t="shared" si="294"/>
        <v>0</v>
      </c>
      <c r="AW216" s="54"/>
      <c r="AX216" s="54"/>
      <c r="AY216" s="21">
        <f t="shared" si="295"/>
        <v>0</v>
      </c>
      <c r="AZ216" s="54"/>
      <c r="BA216" s="54"/>
      <c r="BB216" s="21">
        <f t="shared" si="325"/>
        <v>0</v>
      </c>
      <c r="BC216" s="54"/>
      <c r="BD216" s="54"/>
      <c r="BE216" s="21">
        <f t="shared" si="326"/>
        <v>0</v>
      </c>
      <c r="BF216" s="55"/>
      <c r="BG216" s="55"/>
      <c r="BH216" s="21">
        <f t="shared" si="327"/>
        <v>0</v>
      </c>
      <c r="BI216" s="55"/>
      <c r="BJ216" s="55"/>
      <c r="BK216" s="21">
        <f t="shared" si="328"/>
        <v>0</v>
      </c>
      <c r="BL216" s="55"/>
      <c r="BM216" s="55"/>
      <c r="BN216" s="21">
        <f t="shared" si="329"/>
        <v>0</v>
      </c>
      <c r="BO216" s="55"/>
      <c r="BP216" s="55"/>
      <c r="BQ216" s="21">
        <f t="shared" si="330"/>
        <v>0</v>
      </c>
      <c r="BR216" s="55"/>
      <c r="BS216" s="21">
        <f t="shared" si="301"/>
        <v>0</v>
      </c>
      <c r="BT216" s="56">
        <v>0</v>
      </c>
      <c r="BU216" s="56"/>
      <c r="BV216" s="21">
        <f t="shared" si="302"/>
        <v>0</v>
      </c>
      <c r="BW216" s="77">
        <f t="shared" si="323"/>
        <v>0</v>
      </c>
      <c r="BX216" s="55"/>
      <c r="BY216" s="21">
        <f t="shared" si="303"/>
        <v>0</v>
      </c>
      <c r="BZ216" s="55"/>
      <c r="CA216" s="55"/>
      <c r="CB216" s="21">
        <f t="shared" si="309"/>
        <v>0</v>
      </c>
      <c r="CC216" s="55"/>
      <c r="CD216" s="55"/>
      <c r="CE216" s="21">
        <f t="shared" si="304"/>
        <v>0</v>
      </c>
      <c r="CF216" s="21"/>
      <c r="CG216" s="21"/>
      <c r="CH216" s="21">
        <f t="shared" si="324"/>
        <v>0</v>
      </c>
      <c r="CI216" s="25">
        <f t="shared" si="312"/>
        <v>3</v>
      </c>
      <c r="CJ216" s="54"/>
      <c r="CK216" s="21">
        <f t="shared" si="305"/>
        <v>0</v>
      </c>
      <c r="CL216" s="55"/>
      <c r="CM216" s="55"/>
      <c r="CN216" s="60"/>
      <c r="CO216" s="55"/>
      <c r="CP216" s="55"/>
      <c r="CQ216" s="55"/>
      <c r="CR216" s="55"/>
      <c r="CS216" s="55"/>
      <c r="CT216" s="55"/>
      <c r="CU216" s="55"/>
      <c r="CV216" s="55"/>
      <c r="CW216" s="55"/>
      <c r="CX216" s="55"/>
      <c r="CY216" s="21">
        <f t="shared" si="333"/>
        <v>0</v>
      </c>
      <c r="CZ216" s="56"/>
      <c r="DA216" s="56"/>
      <c r="DB216" s="56"/>
      <c r="DC216" s="56"/>
      <c r="DD216" s="61">
        <f t="shared" si="313"/>
        <v>0</v>
      </c>
      <c r="DE216" s="21">
        <f t="shared" si="314"/>
        <v>0</v>
      </c>
      <c r="DF216" s="55">
        <v>8.5</v>
      </c>
      <c r="DG216" s="55">
        <v>3</v>
      </c>
      <c r="DH216" s="55">
        <v>4.5</v>
      </c>
      <c r="DI216" s="55"/>
      <c r="DJ216" s="104"/>
      <c r="DK216" s="53"/>
      <c r="DM216" s="58">
        <f t="shared" si="273"/>
        <v>362.67503999999997</v>
      </c>
      <c r="DN216" s="58">
        <f t="shared" si="290"/>
        <v>325</v>
      </c>
      <c r="DO216" s="21">
        <f t="shared" si="291"/>
        <v>0.89611901607565836</v>
      </c>
      <c r="DP216" s="62">
        <f t="shared" si="332"/>
        <v>1.0121381008874784</v>
      </c>
      <c r="DQ216" s="7">
        <v>0</v>
      </c>
      <c r="DR216" s="107">
        <f t="shared" si="274"/>
        <v>0</v>
      </c>
    </row>
    <row r="217" spans="1:122" ht="12.75" customHeight="1" x14ac:dyDescent="0.2">
      <c r="A217" s="53" t="s">
        <v>400</v>
      </c>
      <c r="B217" s="54">
        <v>2</v>
      </c>
      <c r="C217" s="92">
        <f t="shared" si="320"/>
        <v>101.5967847958059</v>
      </c>
      <c r="D217" s="92">
        <f t="shared" si="321"/>
        <v>94.90109972978307</v>
      </c>
      <c r="E217" s="92">
        <f>VLOOKUP(A217,[3]TRTOTAL!$A$7:$D$313,3,FALSE)</f>
        <v>101.5967847958059</v>
      </c>
      <c r="F217" s="92">
        <f>VLOOKUP(A217,[3]TRTOTAL!$A$7:$D$313,4,FALSE)</f>
        <v>94.90109972978307</v>
      </c>
      <c r="G217" s="92">
        <f t="shared" si="307"/>
        <v>0</v>
      </c>
      <c r="H217" s="92">
        <f t="shared" si="308"/>
        <v>0</v>
      </c>
      <c r="I217" s="54">
        <v>6.12</v>
      </c>
      <c r="J217" s="56">
        <v>6.12</v>
      </c>
      <c r="K217" s="54">
        <v>3.04</v>
      </c>
      <c r="L217" s="57">
        <v>2</v>
      </c>
      <c r="M217" s="57"/>
      <c r="N217" s="57">
        <v>185</v>
      </c>
      <c r="O217" s="87"/>
      <c r="P217" s="24">
        <f t="shared" si="280"/>
        <v>22.228433333333335</v>
      </c>
      <c r="Q217" s="24">
        <f t="shared" si="279"/>
        <v>10.07</v>
      </c>
      <c r="R217" s="24">
        <f t="shared" si="281"/>
        <v>0</v>
      </c>
      <c r="S217" s="87">
        <v>10.5</v>
      </c>
      <c r="T217" s="21">
        <f t="shared" si="282"/>
        <v>0</v>
      </c>
      <c r="U217" s="21"/>
      <c r="V217" s="24">
        <f t="shared" si="283"/>
        <v>2.54</v>
      </c>
      <c r="W217" s="24">
        <f t="shared" si="284"/>
        <v>2.722</v>
      </c>
      <c r="X217" s="24">
        <f t="shared" si="285"/>
        <v>3.0000784601229129</v>
      </c>
      <c r="Y217" s="25">
        <f t="shared" si="315"/>
        <v>1</v>
      </c>
      <c r="Z217" s="24">
        <f t="shared" si="310"/>
        <v>20.707298363392013</v>
      </c>
      <c r="AA217" s="21">
        <f t="shared" si="286"/>
        <v>0</v>
      </c>
      <c r="AB217" s="24">
        <f t="shared" si="322"/>
        <v>0</v>
      </c>
      <c r="AC217" s="24">
        <f t="shared" si="331"/>
        <v>24.918533363392012</v>
      </c>
      <c r="AD217" s="58">
        <f t="shared" si="287"/>
        <v>329</v>
      </c>
      <c r="AE217" s="58">
        <f t="shared" si="288"/>
        <v>335</v>
      </c>
      <c r="AF217" s="21">
        <f t="shared" si="316"/>
        <v>4.2112349999999994</v>
      </c>
      <c r="AG217" s="77">
        <f t="shared" si="317"/>
        <v>0</v>
      </c>
      <c r="AH217" s="114">
        <f t="shared" si="311"/>
        <v>1</v>
      </c>
      <c r="AI217" s="59">
        <f t="shared" si="318"/>
        <v>98.836196325029618</v>
      </c>
      <c r="AJ217" s="59">
        <f t="shared" si="319"/>
        <v>92.322446455424284</v>
      </c>
      <c r="AK217" s="55">
        <v>10.07</v>
      </c>
      <c r="AL217" s="55">
        <v>2.54</v>
      </c>
      <c r="AM217" s="21">
        <f t="shared" si="289"/>
        <v>12.7889</v>
      </c>
      <c r="AN217" s="54">
        <v>10.07</v>
      </c>
      <c r="AO217" s="55">
        <v>0.16</v>
      </c>
      <c r="AP217" s="21">
        <f t="shared" si="292"/>
        <v>1.0741333333333334</v>
      </c>
      <c r="AQ217" s="55"/>
      <c r="AR217" s="55">
        <v>2.6</v>
      </c>
      <c r="AS217" s="21">
        <f t="shared" si="293"/>
        <v>0</v>
      </c>
      <c r="AT217" s="54">
        <v>9.8699999999999992</v>
      </c>
      <c r="AU217" s="54">
        <v>0.8</v>
      </c>
      <c r="AV217" s="21">
        <f t="shared" si="294"/>
        <v>3.948</v>
      </c>
      <c r="AW217" s="54"/>
      <c r="AX217" s="54"/>
      <c r="AY217" s="21">
        <f t="shared" si="295"/>
        <v>0</v>
      </c>
      <c r="AZ217" s="54">
        <v>9.64</v>
      </c>
      <c r="BA217" s="54">
        <v>0.39</v>
      </c>
      <c r="BB217" s="21">
        <f t="shared" si="325"/>
        <v>2.5064000000000002</v>
      </c>
      <c r="BC217" s="54"/>
      <c r="BD217" s="54"/>
      <c r="BE217" s="21">
        <f t="shared" si="326"/>
        <v>0</v>
      </c>
      <c r="BF217" s="55"/>
      <c r="BG217" s="55"/>
      <c r="BH217" s="21">
        <f t="shared" si="327"/>
        <v>0</v>
      </c>
      <c r="BI217" s="55"/>
      <c r="BJ217" s="55"/>
      <c r="BK217" s="21">
        <f t="shared" si="328"/>
        <v>0</v>
      </c>
      <c r="BL217" s="55"/>
      <c r="BM217" s="55"/>
      <c r="BN217" s="21">
        <f t="shared" si="329"/>
        <v>0</v>
      </c>
      <c r="BO217" s="55"/>
      <c r="BP217" s="55"/>
      <c r="BQ217" s="21">
        <f t="shared" si="330"/>
        <v>0</v>
      </c>
      <c r="BR217" s="55"/>
      <c r="BS217" s="21">
        <f t="shared" si="301"/>
        <v>20.317433333333334</v>
      </c>
      <c r="BT217" s="56">
        <v>0</v>
      </c>
      <c r="BU217" s="56"/>
      <c r="BV217" s="21">
        <f t="shared" si="302"/>
        <v>0</v>
      </c>
      <c r="BW217" s="77">
        <f t="shared" si="323"/>
        <v>0</v>
      </c>
      <c r="BX217" s="55"/>
      <c r="BY217" s="21">
        <f t="shared" si="303"/>
        <v>0</v>
      </c>
      <c r="BZ217" s="55"/>
      <c r="CA217" s="55"/>
      <c r="CB217" s="21">
        <f t="shared" si="309"/>
        <v>0</v>
      </c>
      <c r="CC217" s="55"/>
      <c r="CD217" s="55"/>
      <c r="CE217" s="21">
        <f t="shared" si="304"/>
        <v>0</v>
      </c>
      <c r="CF217" s="21"/>
      <c r="CG217" s="21"/>
      <c r="CH217" s="21">
        <f t="shared" si="324"/>
        <v>0</v>
      </c>
      <c r="CI217" s="25">
        <f t="shared" si="312"/>
        <v>0</v>
      </c>
      <c r="CJ217" s="54">
        <v>0.36399999999999999</v>
      </c>
      <c r="CK217" s="21">
        <f t="shared" si="305"/>
        <v>1.911</v>
      </c>
      <c r="CL217" s="55">
        <v>82</v>
      </c>
      <c r="CM217" s="55" t="s">
        <v>401</v>
      </c>
      <c r="CN217" s="60">
        <v>39976</v>
      </c>
      <c r="CO217" s="55" t="s">
        <v>200</v>
      </c>
      <c r="CP217" s="55"/>
      <c r="CQ217" s="55"/>
      <c r="CR217" s="55"/>
      <c r="CS217" s="55"/>
      <c r="CT217" s="55"/>
      <c r="CU217" s="55"/>
      <c r="CV217" s="55"/>
      <c r="CW217" s="55"/>
      <c r="CX217" s="55"/>
      <c r="CY217" s="21">
        <f t="shared" si="333"/>
        <v>0</v>
      </c>
      <c r="CZ217" s="56">
        <v>4.4000000000000004</v>
      </c>
      <c r="DA217" s="56">
        <v>9.76</v>
      </c>
      <c r="DB217" s="56">
        <v>8.51</v>
      </c>
      <c r="DC217" s="56">
        <v>3.51</v>
      </c>
      <c r="DD217" s="61">
        <f t="shared" si="313"/>
        <v>0.79772727272727262</v>
      </c>
      <c r="DE217" s="21">
        <f t="shared" si="314"/>
        <v>28.0749</v>
      </c>
      <c r="DF217" s="55"/>
      <c r="DG217" s="55"/>
      <c r="DH217" s="55"/>
      <c r="DI217" s="55"/>
      <c r="DJ217" s="104"/>
      <c r="DK217" s="53" t="s">
        <v>402</v>
      </c>
      <c r="DM217" s="58">
        <f t="shared" si="273"/>
        <v>1127.9690501902592</v>
      </c>
      <c r="DN217" s="58">
        <f t="shared" si="290"/>
        <v>878.07999999999993</v>
      </c>
      <c r="DO217" s="21">
        <f t="shared" si="291"/>
        <v>0.77846107555157706</v>
      </c>
      <c r="DP217" s="62">
        <f t="shared" si="332"/>
        <v>1.0279309460847512</v>
      </c>
      <c r="DQ217" s="7">
        <v>0</v>
      </c>
      <c r="DR217" s="107">
        <f t="shared" si="274"/>
        <v>0</v>
      </c>
    </row>
    <row r="218" spans="1:122" ht="12.75" customHeight="1" x14ac:dyDescent="0.2">
      <c r="A218" s="53" t="s">
        <v>403</v>
      </c>
      <c r="B218" s="54">
        <v>2</v>
      </c>
      <c r="C218" s="92">
        <f t="shared" si="320"/>
        <v>99.847973643598607</v>
      </c>
      <c r="D218" s="92">
        <f t="shared" si="321"/>
        <v>93.342448918990172</v>
      </c>
      <c r="E218" s="92">
        <f>VLOOKUP(A218,[3]TRTOTAL!$A$7:$D$313,3,FALSE)</f>
        <v>99.847973643598607</v>
      </c>
      <c r="F218" s="92">
        <f>VLOOKUP(A218,[3]TRTOTAL!$A$7:$D$313,4,FALSE)</f>
        <v>93.342448918990172</v>
      </c>
      <c r="G218" s="92">
        <f t="shared" si="307"/>
        <v>0</v>
      </c>
      <c r="H218" s="92">
        <f t="shared" si="308"/>
        <v>0</v>
      </c>
      <c r="I218" s="54">
        <v>6.12</v>
      </c>
      <c r="J218" s="56">
        <v>6.12</v>
      </c>
      <c r="K218" s="54">
        <v>3.04</v>
      </c>
      <c r="L218" s="57">
        <v>2</v>
      </c>
      <c r="M218" s="57"/>
      <c r="N218" s="57">
        <v>164</v>
      </c>
      <c r="O218" s="87"/>
      <c r="P218" s="24">
        <f t="shared" si="280"/>
        <v>22.228433333333335</v>
      </c>
      <c r="Q218" s="24">
        <f t="shared" si="279"/>
        <v>10.07</v>
      </c>
      <c r="R218" s="24">
        <f t="shared" si="281"/>
        <v>0</v>
      </c>
      <c r="S218" s="87">
        <v>10.5</v>
      </c>
      <c r="T218" s="21">
        <f t="shared" si="282"/>
        <v>0</v>
      </c>
      <c r="U218" s="21"/>
      <c r="V218" s="24">
        <f t="shared" si="283"/>
        <v>2.54</v>
      </c>
      <c r="W218" s="24">
        <f t="shared" si="284"/>
        <v>2.722</v>
      </c>
      <c r="X218" s="24">
        <f t="shared" si="285"/>
        <v>3.0000784601229129</v>
      </c>
      <c r="Y218" s="25">
        <f t="shared" si="315"/>
        <v>1</v>
      </c>
      <c r="Z218" s="24">
        <f t="shared" si="310"/>
        <v>20.707298363392013</v>
      </c>
      <c r="AA218" s="21">
        <f t="shared" si="286"/>
        <v>0</v>
      </c>
      <c r="AB218" s="24">
        <f t="shared" si="322"/>
        <v>0</v>
      </c>
      <c r="AC218" s="24">
        <f t="shared" si="331"/>
        <v>24.893243363392013</v>
      </c>
      <c r="AD218" s="58">
        <f t="shared" si="287"/>
        <v>308</v>
      </c>
      <c r="AE218" s="58">
        <f t="shared" si="288"/>
        <v>314</v>
      </c>
      <c r="AF218" s="21">
        <f t="shared" si="316"/>
        <v>4.1859449999999994</v>
      </c>
      <c r="AG218" s="77">
        <f t="shared" si="317"/>
        <v>0</v>
      </c>
      <c r="AH218" s="114">
        <f t="shared" si="311"/>
        <v>1</v>
      </c>
      <c r="AI218" s="59">
        <f t="shared" si="318"/>
        <v>96.740057105488759</v>
      </c>
      <c r="AJ218" s="59">
        <f t="shared" si="319"/>
        <v>90.437026504124745</v>
      </c>
      <c r="AK218" s="55">
        <v>10.07</v>
      </c>
      <c r="AL218" s="55">
        <v>2.54</v>
      </c>
      <c r="AM218" s="21">
        <f t="shared" si="289"/>
        <v>12.7889</v>
      </c>
      <c r="AN218" s="54">
        <v>10.07</v>
      </c>
      <c r="AO218" s="55">
        <v>0.16</v>
      </c>
      <c r="AP218" s="21">
        <f t="shared" si="292"/>
        <v>1.0741333333333334</v>
      </c>
      <c r="AQ218" s="55"/>
      <c r="AR218" s="55">
        <v>2.6</v>
      </c>
      <c r="AS218" s="21">
        <f t="shared" si="293"/>
        <v>0</v>
      </c>
      <c r="AT218" s="54">
        <v>9.8699999999999992</v>
      </c>
      <c r="AU218" s="54">
        <v>0.8</v>
      </c>
      <c r="AV218" s="21">
        <f t="shared" si="294"/>
        <v>3.948</v>
      </c>
      <c r="AW218" s="54"/>
      <c r="AX218" s="54"/>
      <c r="AY218" s="21">
        <f t="shared" si="295"/>
        <v>0</v>
      </c>
      <c r="AZ218" s="54">
        <v>9.64</v>
      </c>
      <c r="BA218" s="54">
        <v>0.39</v>
      </c>
      <c r="BB218" s="21">
        <f t="shared" si="325"/>
        <v>2.5064000000000002</v>
      </c>
      <c r="BC218" s="54"/>
      <c r="BD218" s="54"/>
      <c r="BE218" s="21">
        <f t="shared" si="326"/>
        <v>0</v>
      </c>
      <c r="BF218" s="55"/>
      <c r="BG218" s="55"/>
      <c r="BH218" s="21">
        <f t="shared" si="327"/>
        <v>0</v>
      </c>
      <c r="BI218" s="55"/>
      <c r="BJ218" s="55"/>
      <c r="BK218" s="21">
        <f t="shared" si="328"/>
        <v>0</v>
      </c>
      <c r="BL218" s="55"/>
      <c r="BM218" s="55"/>
      <c r="BN218" s="21">
        <f t="shared" si="329"/>
        <v>0</v>
      </c>
      <c r="BO218" s="55"/>
      <c r="BP218" s="55"/>
      <c r="BQ218" s="21">
        <f t="shared" si="330"/>
        <v>0</v>
      </c>
      <c r="BR218" s="55"/>
      <c r="BS218" s="21">
        <f t="shared" si="301"/>
        <v>20.317433333333334</v>
      </c>
      <c r="BT218" s="56">
        <v>0</v>
      </c>
      <c r="BU218" s="56"/>
      <c r="BV218" s="21">
        <f t="shared" si="302"/>
        <v>0</v>
      </c>
      <c r="BW218" s="77">
        <f t="shared" si="323"/>
        <v>0</v>
      </c>
      <c r="BX218" s="55"/>
      <c r="BY218" s="21">
        <f t="shared" si="303"/>
        <v>0</v>
      </c>
      <c r="BZ218" s="55"/>
      <c r="CA218" s="55"/>
      <c r="CB218" s="21">
        <f t="shared" si="309"/>
        <v>0</v>
      </c>
      <c r="CC218" s="55"/>
      <c r="CD218" s="55"/>
      <c r="CE218" s="21">
        <f t="shared" si="304"/>
        <v>0</v>
      </c>
      <c r="CF218" s="21"/>
      <c r="CG218" s="21"/>
      <c r="CH218" s="21">
        <f t="shared" si="324"/>
        <v>0</v>
      </c>
      <c r="CI218" s="25">
        <f t="shared" si="312"/>
        <v>0</v>
      </c>
      <c r="CJ218" s="54">
        <v>0.36399999999999999</v>
      </c>
      <c r="CK218" s="21">
        <f t="shared" si="305"/>
        <v>1.911</v>
      </c>
      <c r="CL218" s="55">
        <v>422</v>
      </c>
      <c r="CM218" s="55" t="s">
        <v>404</v>
      </c>
      <c r="CN218" s="60">
        <v>39976</v>
      </c>
      <c r="CO218" s="55" t="s">
        <v>200</v>
      </c>
      <c r="CP218" s="55"/>
      <c r="CQ218" s="55"/>
      <c r="CR218" s="55"/>
      <c r="CS218" s="55"/>
      <c r="CT218" s="55"/>
      <c r="CU218" s="55"/>
      <c r="CV218" s="55"/>
      <c r="CW218" s="55"/>
      <c r="CX218" s="55"/>
      <c r="CY218" s="21">
        <f t="shared" si="333"/>
        <v>0</v>
      </c>
      <c r="CZ218" s="56">
        <v>4.38</v>
      </c>
      <c r="DA218" s="56">
        <v>9.65</v>
      </c>
      <c r="DB218" s="56">
        <v>8.5299999999999994</v>
      </c>
      <c r="DC218" s="56">
        <v>3.51</v>
      </c>
      <c r="DD218" s="61">
        <f t="shared" si="313"/>
        <v>0.80136986301369861</v>
      </c>
      <c r="DE218" s="21">
        <f t="shared" si="314"/>
        <v>27.906299999999998</v>
      </c>
      <c r="DF218" s="55"/>
      <c r="DG218" s="55"/>
      <c r="DH218" s="55"/>
      <c r="DI218" s="55"/>
      <c r="DJ218" s="104"/>
      <c r="DK218" s="53" t="s">
        <v>405</v>
      </c>
      <c r="DM218" s="58">
        <f t="shared" si="273"/>
        <v>1127.9690501902592</v>
      </c>
      <c r="DN218" s="58">
        <f t="shared" si="290"/>
        <v>846.16</v>
      </c>
      <c r="DO218" s="21">
        <f t="shared" si="291"/>
        <v>0.75016242675920464</v>
      </c>
      <c r="DP218" s="62">
        <f t="shared" si="332"/>
        <v>1.0321264699556758</v>
      </c>
      <c r="DQ218" s="7">
        <v>0</v>
      </c>
      <c r="DR218" s="107">
        <f t="shared" si="274"/>
        <v>0</v>
      </c>
    </row>
    <row r="219" spans="1:122" ht="12.75" customHeight="1" x14ac:dyDescent="0.2">
      <c r="A219" s="53" t="s">
        <v>406</v>
      </c>
      <c r="B219" s="54">
        <v>1</v>
      </c>
      <c r="C219" s="92">
        <f t="shared" si="320"/>
        <v>125.21603037807213</v>
      </c>
      <c r="D219" s="92">
        <f t="shared" si="321"/>
        <v>119.17104510871583</v>
      </c>
      <c r="E219" s="92">
        <f>VLOOKUP(A219,[3]TRTOTAL!$A$7:$D$313,3,FALSE)</f>
        <v>125.21603037807213</v>
      </c>
      <c r="F219" s="92">
        <f>VLOOKUP(A219,[3]TRTOTAL!$A$7:$D$313,4,FALSE)</f>
        <v>119.17104510871583</v>
      </c>
      <c r="G219" s="92">
        <f t="shared" si="307"/>
        <v>0</v>
      </c>
      <c r="H219" s="92">
        <f t="shared" si="308"/>
        <v>0</v>
      </c>
      <c r="I219" s="54">
        <v>4.5599999999999996</v>
      </c>
      <c r="J219" s="56">
        <v>4.47</v>
      </c>
      <c r="K219" s="54">
        <v>2.35</v>
      </c>
      <c r="L219" s="57">
        <v>1</v>
      </c>
      <c r="M219" s="57">
        <v>118</v>
      </c>
      <c r="N219" s="57"/>
      <c r="O219" s="87" t="s">
        <v>133</v>
      </c>
      <c r="P219" s="24">
        <f t="shared" si="280"/>
        <v>13.083099999999998</v>
      </c>
      <c r="Q219" s="24">
        <f t="shared" si="279"/>
        <v>6.93</v>
      </c>
      <c r="R219" s="24">
        <f t="shared" si="281"/>
        <v>0</v>
      </c>
      <c r="S219" s="87">
        <v>7.35</v>
      </c>
      <c r="T219" s="21">
        <f t="shared" si="282"/>
        <v>0</v>
      </c>
      <c r="U219" s="21"/>
      <c r="V219" s="24">
        <f t="shared" si="283"/>
        <v>2.2999999999999998</v>
      </c>
      <c r="W219" s="24">
        <f t="shared" si="284"/>
        <v>2.4449999999999998</v>
      </c>
      <c r="X219" s="24">
        <f t="shared" si="285"/>
        <v>2.1885321657236294</v>
      </c>
      <c r="Y219" s="25">
        <f t="shared" si="315"/>
        <v>1</v>
      </c>
      <c r="Z219" s="24">
        <f t="shared" si="310"/>
        <v>11.087441561482352</v>
      </c>
      <c r="AA219" s="21">
        <f t="shared" si="286"/>
        <v>0</v>
      </c>
      <c r="AB219" s="24">
        <f t="shared" si="322"/>
        <v>0</v>
      </c>
      <c r="AC219" s="24">
        <f t="shared" si="331"/>
        <v>13.187441561482352</v>
      </c>
      <c r="AD219" s="58">
        <f t="shared" si="287"/>
        <v>193</v>
      </c>
      <c r="AE219" s="58">
        <f t="shared" si="288"/>
        <v>199</v>
      </c>
      <c r="AF219" s="21">
        <f t="shared" si="316"/>
        <v>2.1</v>
      </c>
      <c r="AG219" s="77">
        <f t="shared" si="317"/>
        <v>0</v>
      </c>
      <c r="AH219" s="114">
        <f t="shared" si="311"/>
        <v>1.04</v>
      </c>
      <c r="AI219" s="59">
        <f t="shared" si="318"/>
        <v>121.93175644093824</v>
      </c>
      <c r="AJ219" s="59">
        <f t="shared" si="319"/>
        <v>114.89636064741335</v>
      </c>
      <c r="AK219" s="55">
        <v>6.93</v>
      </c>
      <c r="AL219" s="55">
        <v>2.2999999999999998</v>
      </c>
      <c r="AM219" s="21">
        <f t="shared" si="289"/>
        <v>7.9694999999999991</v>
      </c>
      <c r="AN219" s="54">
        <v>6.93</v>
      </c>
      <c r="AO219" s="55">
        <v>0.05</v>
      </c>
      <c r="AP219" s="21">
        <f t="shared" si="292"/>
        <v>0.23100000000000001</v>
      </c>
      <c r="AQ219" s="55"/>
      <c r="AR219" s="55"/>
      <c r="AS219" s="21">
        <f t="shared" si="293"/>
        <v>0</v>
      </c>
      <c r="AT219" s="54"/>
      <c r="AU219" s="54"/>
      <c r="AV219" s="21">
        <f t="shared" si="294"/>
        <v>0</v>
      </c>
      <c r="AW219" s="54">
        <v>6.91</v>
      </c>
      <c r="AX219" s="54">
        <v>0.59</v>
      </c>
      <c r="AY219" s="21">
        <f t="shared" si="295"/>
        <v>2.0384500000000001</v>
      </c>
      <c r="AZ219" s="54">
        <v>6.84</v>
      </c>
      <c r="BA219" s="54">
        <v>0.39</v>
      </c>
      <c r="BB219" s="21">
        <f t="shared" si="325"/>
        <v>1.7784000000000002</v>
      </c>
      <c r="BC219" s="54"/>
      <c r="BD219" s="54"/>
      <c r="BE219" s="21">
        <f t="shared" si="326"/>
        <v>0</v>
      </c>
      <c r="BF219" s="55"/>
      <c r="BG219" s="55"/>
      <c r="BH219" s="21">
        <f t="shared" si="327"/>
        <v>0</v>
      </c>
      <c r="BI219" s="55"/>
      <c r="BJ219" s="55"/>
      <c r="BK219" s="21">
        <f t="shared" si="328"/>
        <v>0</v>
      </c>
      <c r="BL219" s="55"/>
      <c r="BM219" s="55"/>
      <c r="BN219" s="21">
        <f t="shared" si="329"/>
        <v>0</v>
      </c>
      <c r="BO219" s="55"/>
      <c r="BP219" s="55"/>
      <c r="BQ219" s="21">
        <f t="shared" si="330"/>
        <v>0</v>
      </c>
      <c r="BR219" s="55"/>
      <c r="BS219" s="21">
        <f t="shared" si="301"/>
        <v>12.017349999999999</v>
      </c>
      <c r="BT219" s="56">
        <v>0</v>
      </c>
      <c r="BU219" s="56"/>
      <c r="BV219" s="21">
        <f t="shared" si="302"/>
        <v>0</v>
      </c>
      <c r="BW219" s="77">
        <f t="shared" si="323"/>
        <v>0</v>
      </c>
      <c r="BX219" s="55"/>
      <c r="BY219" s="21">
        <f t="shared" si="303"/>
        <v>0</v>
      </c>
      <c r="BZ219" s="55"/>
      <c r="CA219" s="55"/>
      <c r="CB219" s="21">
        <f t="shared" si="309"/>
        <v>0</v>
      </c>
      <c r="CC219" s="54"/>
      <c r="CD219" s="54"/>
      <c r="CE219" s="21">
        <f t="shared" si="304"/>
        <v>0</v>
      </c>
      <c r="CF219" s="21"/>
      <c r="CG219" s="21"/>
      <c r="CH219" s="21">
        <f t="shared" si="324"/>
        <v>0</v>
      </c>
      <c r="CI219" s="25">
        <f t="shared" si="312"/>
        <v>0</v>
      </c>
      <c r="CJ219" s="54">
        <v>0.28999999999999998</v>
      </c>
      <c r="CK219" s="21">
        <f t="shared" si="305"/>
        <v>1.06575</v>
      </c>
      <c r="CL219" s="55">
        <v>9</v>
      </c>
      <c r="CM219" s="55" t="s">
        <v>407</v>
      </c>
      <c r="CN219" s="60">
        <v>39604</v>
      </c>
      <c r="CO219" s="55" t="s">
        <v>142</v>
      </c>
      <c r="CP219" s="55"/>
      <c r="CQ219" s="55"/>
      <c r="CR219" s="55"/>
      <c r="CS219" s="55"/>
      <c r="CT219" s="55"/>
      <c r="CU219" s="55"/>
      <c r="CV219" s="55"/>
      <c r="CW219" s="55"/>
      <c r="CX219" s="55"/>
      <c r="CY219" s="21"/>
      <c r="CZ219" s="56"/>
      <c r="DA219" s="56"/>
      <c r="DB219" s="56"/>
      <c r="DC219" s="56"/>
      <c r="DD219" s="61">
        <f t="shared" si="313"/>
        <v>0</v>
      </c>
      <c r="DE219" s="21">
        <f t="shared" si="314"/>
        <v>0</v>
      </c>
      <c r="DF219" s="55"/>
      <c r="DG219" s="55"/>
      <c r="DH219" s="55"/>
      <c r="DI219" s="55"/>
      <c r="DJ219" s="104"/>
      <c r="DK219" s="53"/>
      <c r="DM219" s="58">
        <f t="shared" si="273"/>
        <v>496.4671563387646</v>
      </c>
      <c r="DN219" s="58">
        <f t="shared" si="290"/>
        <v>389.9</v>
      </c>
      <c r="DO219" s="21">
        <f t="shared" si="291"/>
        <v>0.78534903068986006</v>
      </c>
      <c r="DP219" s="62">
        <f t="shared" si="332"/>
        <v>1.0269353450897325</v>
      </c>
      <c r="DQ219" s="7" t="s">
        <v>130</v>
      </c>
      <c r="DR219" s="107">
        <f t="shared" si="274"/>
        <v>0</v>
      </c>
    </row>
    <row r="220" spans="1:122" ht="12.75" customHeight="1" x14ac:dyDescent="0.2">
      <c r="A220" s="53" t="s">
        <v>408</v>
      </c>
      <c r="B220" s="54">
        <v>1</v>
      </c>
      <c r="C220" s="92">
        <f t="shared" si="320"/>
        <v>118.5145495274169</v>
      </c>
      <c r="D220" s="92">
        <f t="shared" si="321"/>
        <v>114.81055375752216</v>
      </c>
      <c r="E220" s="92">
        <f>VLOOKUP(A220,[3]TRTOTAL!$A$7:$D$313,3,FALSE)</f>
        <v>118.5145495274169</v>
      </c>
      <c r="F220" s="92">
        <f>VLOOKUP(A220,[3]TRTOTAL!$A$7:$D$313,4,FALSE)</f>
        <v>114.81055375752216</v>
      </c>
      <c r="G220" s="92">
        <f t="shared" si="307"/>
        <v>0</v>
      </c>
      <c r="H220" s="92">
        <f t="shared" si="308"/>
        <v>0</v>
      </c>
      <c r="I220" s="54">
        <v>4.5599999999999996</v>
      </c>
      <c r="J220" s="56">
        <v>4.47</v>
      </c>
      <c r="K220" s="54">
        <v>2.35</v>
      </c>
      <c r="L220" s="57">
        <v>1</v>
      </c>
      <c r="M220" s="57">
        <v>121</v>
      </c>
      <c r="N220" s="57"/>
      <c r="O220" s="87" t="s">
        <v>133</v>
      </c>
      <c r="P220" s="24">
        <f t="shared" si="280"/>
        <v>13.083099999999998</v>
      </c>
      <c r="Q220" s="24">
        <f t="shared" si="279"/>
        <v>6.93</v>
      </c>
      <c r="R220" s="24">
        <f t="shared" si="281"/>
        <v>2.6330999999999998</v>
      </c>
      <c r="S220" s="87">
        <v>7.35</v>
      </c>
      <c r="T220" s="21">
        <f t="shared" si="282"/>
        <v>3.7787999999999995</v>
      </c>
      <c r="U220" s="21"/>
      <c r="V220" s="24">
        <f t="shared" si="283"/>
        <v>2.2999999999999998</v>
      </c>
      <c r="W220" s="24">
        <f t="shared" si="284"/>
        <v>2.4449999999999998</v>
      </c>
      <c r="X220" s="24">
        <f t="shared" si="285"/>
        <v>2.1885321657236294</v>
      </c>
      <c r="Y220" s="25">
        <f t="shared" si="315"/>
        <v>1</v>
      </c>
      <c r="Z220" s="24">
        <f t="shared" si="310"/>
        <v>11.087441561482352</v>
      </c>
      <c r="AA220" s="21">
        <f t="shared" si="286"/>
        <v>1.5343511450381677</v>
      </c>
      <c r="AB220" s="24">
        <f t="shared" si="322"/>
        <v>2.1556451833416008</v>
      </c>
      <c r="AC220" s="24">
        <f t="shared" si="331"/>
        <v>15.062852870989545</v>
      </c>
      <c r="AD220" s="58">
        <f t="shared" si="287"/>
        <v>196</v>
      </c>
      <c r="AE220" s="58">
        <f t="shared" si="288"/>
        <v>202</v>
      </c>
      <c r="AF220" s="21">
        <f t="shared" si="316"/>
        <v>2.1</v>
      </c>
      <c r="AG220" s="77">
        <f t="shared" si="317"/>
        <v>0</v>
      </c>
      <c r="AH220" s="114">
        <f t="shared" si="311"/>
        <v>1.04</v>
      </c>
      <c r="AI220" s="59">
        <f t="shared" si="318"/>
        <v>114.1381359782973</v>
      </c>
      <c r="AJ220" s="59">
        <f t="shared" si="319"/>
        <v>109.47615692784801</v>
      </c>
      <c r="AK220" s="55">
        <v>6.93</v>
      </c>
      <c r="AL220" s="55">
        <v>2.2999999999999998</v>
      </c>
      <c r="AM220" s="21">
        <f t="shared" si="289"/>
        <v>7.9694999999999991</v>
      </c>
      <c r="AN220" s="54">
        <v>6.93</v>
      </c>
      <c r="AO220" s="55">
        <v>0.05</v>
      </c>
      <c r="AP220" s="21">
        <f t="shared" si="292"/>
        <v>0.23100000000000001</v>
      </c>
      <c r="AQ220" s="55"/>
      <c r="AR220" s="55"/>
      <c r="AS220" s="21">
        <f t="shared" si="293"/>
        <v>0</v>
      </c>
      <c r="AT220" s="54"/>
      <c r="AU220" s="54"/>
      <c r="AV220" s="21">
        <f t="shared" si="294"/>
        <v>0</v>
      </c>
      <c r="AW220" s="54">
        <v>6.91</v>
      </c>
      <c r="AX220" s="54">
        <v>0.59</v>
      </c>
      <c r="AY220" s="21">
        <f t="shared" si="295"/>
        <v>2.0384500000000001</v>
      </c>
      <c r="AZ220" s="54">
        <v>6.84</v>
      </c>
      <c r="BA220" s="54">
        <v>0.39</v>
      </c>
      <c r="BB220" s="21">
        <f t="shared" si="325"/>
        <v>1.7784000000000002</v>
      </c>
      <c r="BC220" s="54"/>
      <c r="BD220" s="54"/>
      <c r="BE220" s="21">
        <f t="shared" si="326"/>
        <v>0</v>
      </c>
      <c r="BF220" s="55"/>
      <c r="BG220" s="55"/>
      <c r="BH220" s="21">
        <f t="shared" si="327"/>
        <v>0</v>
      </c>
      <c r="BI220" s="55"/>
      <c r="BJ220" s="55"/>
      <c r="BK220" s="21">
        <f t="shared" si="328"/>
        <v>0</v>
      </c>
      <c r="BL220" s="55"/>
      <c r="BM220" s="55"/>
      <c r="BN220" s="21">
        <f t="shared" si="329"/>
        <v>0</v>
      </c>
      <c r="BO220" s="55"/>
      <c r="BP220" s="55"/>
      <c r="BQ220" s="21">
        <f t="shared" si="330"/>
        <v>0</v>
      </c>
      <c r="BR220" s="55"/>
      <c r="BS220" s="21">
        <f t="shared" si="301"/>
        <v>12.017349999999999</v>
      </c>
      <c r="BT220" s="56">
        <v>4.0199999999999996</v>
      </c>
      <c r="BU220" s="56">
        <v>1.31</v>
      </c>
      <c r="BV220" s="21">
        <f t="shared" si="302"/>
        <v>2.6330999999999998</v>
      </c>
      <c r="BW220" s="77">
        <f t="shared" si="323"/>
        <v>4.0199999999999996</v>
      </c>
      <c r="BX220" s="55"/>
      <c r="BY220" s="21">
        <f t="shared" si="303"/>
        <v>0</v>
      </c>
      <c r="BZ220" s="55"/>
      <c r="CA220" s="55"/>
      <c r="CB220" s="21">
        <f t="shared" si="309"/>
        <v>0</v>
      </c>
      <c r="CC220" s="55"/>
      <c r="CD220" s="55"/>
      <c r="CE220" s="21">
        <f t="shared" si="304"/>
        <v>0</v>
      </c>
      <c r="CF220" s="21"/>
      <c r="CG220" s="21"/>
      <c r="CH220" s="21">
        <f t="shared" si="324"/>
        <v>0</v>
      </c>
      <c r="CI220" s="25">
        <f t="shared" si="312"/>
        <v>2.6330999999999998</v>
      </c>
      <c r="CJ220" s="54">
        <v>0.28999999999999998</v>
      </c>
      <c r="CK220" s="21">
        <f t="shared" si="305"/>
        <v>1.06575</v>
      </c>
      <c r="CL220" s="55"/>
      <c r="CM220" s="55"/>
      <c r="CN220" s="60"/>
      <c r="CO220" s="55"/>
      <c r="CP220" s="55"/>
      <c r="CQ220" s="55"/>
      <c r="CR220" s="55"/>
      <c r="CS220" s="55"/>
      <c r="CT220" s="55"/>
      <c r="CU220" s="55"/>
      <c r="CV220" s="55"/>
      <c r="CW220" s="55"/>
      <c r="CX220" s="55"/>
      <c r="CY220" s="21"/>
      <c r="CZ220" s="56"/>
      <c r="DA220" s="56"/>
      <c r="DB220" s="56"/>
      <c r="DC220" s="56"/>
      <c r="DD220" s="61">
        <f t="shared" si="313"/>
        <v>0</v>
      </c>
      <c r="DE220" s="21">
        <f t="shared" si="314"/>
        <v>0</v>
      </c>
      <c r="DF220" s="55"/>
      <c r="DG220" s="55"/>
      <c r="DH220" s="55"/>
      <c r="DI220" s="55"/>
      <c r="DJ220" s="104"/>
      <c r="DK220" s="53"/>
      <c r="DM220" s="58">
        <f t="shared" si="273"/>
        <v>553.87981583037981</v>
      </c>
      <c r="DN220" s="58">
        <f t="shared" si="290"/>
        <v>393.42500000000001</v>
      </c>
      <c r="DO220" s="21">
        <f t="shared" si="291"/>
        <v>0.71030752295996735</v>
      </c>
      <c r="DP220" s="62">
        <f t="shared" si="332"/>
        <v>1.0383431314311262</v>
      </c>
      <c r="DQ220" s="7">
        <v>0</v>
      </c>
      <c r="DR220" s="107">
        <f t="shared" si="274"/>
        <v>0</v>
      </c>
    </row>
    <row r="221" spans="1:122" ht="12.75" customHeight="1" x14ac:dyDescent="0.2">
      <c r="A221" s="53" t="s">
        <v>409</v>
      </c>
      <c r="B221" s="54">
        <v>2</v>
      </c>
      <c r="C221" s="92">
        <f t="shared" si="320"/>
        <v>122.12361433493984</v>
      </c>
      <c r="D221" s="92">
        <f t="shared" si="321"/>
        <v>114.85856259826795</v>
      </c>
      <c r="E221" s="92">
        <f>VLOOKUP(A221,[3]TRTOTAL!$A$7:$D$313,3,FALSE)</f>
        <v>122.12361433493984</v>
      </c>
      <c r="F221" s="92">
        <f>VLOOKUP(A221,[3]TRTOTAL!$A$7:$D$313,4,FALSE)</f>
        <v>114.85856259826795</v>
      </c>
      <c r="G221" s="92">
        <f t="shared" si="307"/>
        <v>0</v>
      </c>
      <c r="H221" s="92">
        <f t="shared" si="308"/>
        <v>0</v>
      </c>
      <c r="I221" s="54">
        <v>4.91</v>
      </c>
      <c r="J221" s="56">
        <v>4.57</v>
      </c>
      <c r="K221" s="54">
        <v>2.44</v>
      </c>
      <c r="L221" s="57">
        <v>2</v>
      </c>
      <c r="M221" s="57">
        <v>136</v>
      </c>
      <c r="N221" s="57"/>
      <c r="O221" s="87" t="s">
        <v>133</v>
      </c>
      <c r="P221" s="24">
        <f t="shared" si="280"/>
        <v>13.903064166666667</v>
      </c>
      <c r="Q221" s="24">
        <f t="shared" si="279"/>
        <v>7.3730000000000002</v>
      </c>
      <c r="R221" s="24">
        <f t="shared" ref="R221:R229" si="334">CI221</f>
        <v>3.516864</v>
      </c>
      <c r="S221" s="87">
        <v>7.92</v>
      </c>
      <c r="T221" s="21">
        <f t="shared" ref="T221:T253" si="335">IF(gs_1,gs_1*0.94,VlgNoDetails)</f>
        <v>4.6999999999999993</v>
      </c>
      <c r="U221" s="21"/>
      <c r="V221" s="24">
        <f t="shared" ref="V221:V229" si="336">IF(e_sp,e_sp,(IF(mfoot,MAX(CU221:CX221),IF(mainh1,mainh1,vlm*0.3))))</f>
        <v>2.274</v>
      </c>
      <c r="W221" s="24">
        <f t="shared" ref="W221:W253" si="337">IF(circMast,circMast/2,0.16)+V221</f>
        <v>2.4239999999999999</v>
      </c>
      <c r="X221" s="24">
        <f t="shared" ref="X221:X253" si="338">msam/e^2</f>
        <v>2.3661664717420585</v>
      </c>
      <c r="Y221" s="25">
        <f t="shared" si="315"/>
        <v>1</v>
      </c>
      <c r="Z221" s="24">
        <f t="shared" si="310"/>
        <v>12.061433277635107</v>
      </c>
      <c r="AA221" s="21">
        <f t="shared" ref="AA221:AA253" si="339">IF(lpg,msag/lpg^2,0)</f>
        <v>1.5547476233589859</v>
      </c>
      <c r="AB221" s="24">
        <f t="shared" si="322"/>
        <v>2.8905869724698139</v>
      </c>
      <c r="AC221" s="24">
        <f t="shared" si="331"/>
        <v>17.726243943683844</v>
      </c>
      <c r="AD221" s="58">
        <f t="shared" ref="AD221:AD253" si="340">IF(wsex,wsex,wsin-6)+crew*(IF(AND(crew=1,msam+msag&gt;=11),75,IF(loa&lt;=4,65,IF(loa&lt;=4.8,70,75))))</f>
        <v>286</v>
      </c>
      <c r="AE221" s="58">
        <f t="shared" ref="AE221:AE253" si="341">IF(wsin,wsin,wsex+6)+crew*(IF(AND(crew=1,msam+msag&gt;=11),75,IF(loa&lt;=4,65,IF(loa&lt;=4.8,70,75))))</f>
        <v>292</v>
      </c>
      <c r="AF221" s="21">
        <f t="shared" si="316"/>
        <v>3.15</v>
      </c>
      <c r="AG221" s="77">
        <f t="shared" si="317"/>
        <v>0</v>
      </c>
      <c r="AH221" s="114">
        <f t="shared" si="311"/>
        <v>1.04</v>
      </c>
      <c r="AI221" s="59">
        <f t="shared" si="318"/>
        <v>122.12361433493984</v>
      </c>
      <c r="AJ221" s="59">
        <f t="shared" si="319"/>
        <v>114.85856259826795</v>
      </c>
      <c r="AK221" s="55">
        <v>7.3730000000000002</v>
      </c>
      <c r="AL221" s="55">
        <v>2.274</v>
      </c>
      <c r="AM221" s="21">
        <f t="shared" ref="AM221:AM253" si="342">AK221*AL221*0.5</f>
        <v>8.3831009999999999</v>
      </c>
      <c r="AN221" s="54">
        <v>7.3730000000000002</v>
      </c>
      <c r="AO221" s="55">
        <v>0.12</v>
      </c>
      <c r="AP221" s="21">
        <f t="shared" si="292"/>
        <v>0.58984000000000003</v>
      </c>
      <c r="AQ221" s="55"/>
      <c r="AR221" s="55"/>
      <c r="AS221" s="21">
        <f t="shared" si="293"/>
        <v>0</v>
      </c>
      <c r="AT221" s="54">
        <v>7.24</v>
      </c>
      <c r="AU221" s="54">
        <v>0.74399999999999999</v>
      </c>
      <c r="AV221" s="21">
        <f t="shared" si="294"/>
        <v>2.6932800000000001</v>
      </c>
      <c r="AW221" s="54">
        <v>3.2549999999999999</v>
      </c>
      <c r="AX221" s="54">
        <v>0.36299999999999999</v>
      </c>
      <c r="AY221" s="21">
        <f t="shared" si="295"/>
        <v>0.59078249999999999</v>
      </c>
      <c r="AZ221" s="54">
        <v>4.1349999999999998</v>
      </c>
      <c r="BA221" s="54">
        <v>0.13600000000000001</v>
      </c>
      <c r="BB221" s="21">
        <f t="shared" si="325"/>
        <v>0.37490666666666667</v>
      </c>
      <c r="BC221" s="54">
        <v>2.5579999999999998</v>
      </c>
      <c r="BD221" s="54">
        <v>3.5999999999999997E-2</v>
      </c>
      <c r="BE221" s="21">
        <f t="shared" si="326"/>
        <v>6.1391999999999995E-2</v>
      </c>
      <c r="BF221" s="55">
        <v>0.80600000000000005</v>
      </c>
      <c r="BG221" s="55">
        <v>5.3999999999999999E-2</v>
      </c>
      <c r="BH221" s="21">
        <f t="shared" si="327"/>
        <v>2.1762E-2</v>
      </c>
      <c r="BI221" s="55"/>
      <c r="BJ221" s="55"/>
      <c r="BK221" s="21">
        <f t="shared" si="328"/>
        <v>0</v>
      </c>
      <c r="BL221" s="55"/>
      <c r="BM221" s="55"/>
      <c r="BN221" s="21">
        <f t="shared" si="329"/>
        <v>0</v>
      </c>
      <c r="BO221" s="55"/>
      <c r="BP221" s="55"/>
      <c r="BQ221" s="21">
        <f t="shared" si="330"/>
        <v>0</v>
      </c>
      <c r="BR221" s="55"/>
      <c r="BS221" s="21">
        <f t="shared" si="301"/>
        <v>12.715064166666666</v>
      </c>
      <c r="BT221" s="56">
        <v>5</v>
      </c>
      <c r="BU221" s="56">
        <v>1.504</v>
      </c>
      <c r="BV221" s="21">
        <f t="shared" si="302"/>
        <v>3.76</v>
      </c>
      <c r="BW221" s="77">
        <f t="shared" si="323"/>
        <v>5</v>
      </c>
      <c r="BX221" s="55">
        <v>-4.4999999999999998E-2</v>
      </c>
      <c r="BY221" s="21">
        <f t="shared" si="303"/>
        <v>-0.15</v>
      </c>
      <c r="BZ221" s="55">
        <v>4.7590000000000003</v>
      </c>
      <c r="CA221" s="55">
        <v>-0.04</v>
      </c>
      <c r="CB221" s="21">
        <f t="shared" si="309"/>
        <v>-0.1269066666666667</v>
      </c>
      <c r="CC221" s="54">
        <v>1.583</v>
      </c>
      <c r="CD221" s="54">
        <v>3.2000000000000001E-2</v>
      </c>
      <c r="CE221" s="21">
        <f t="shared" si="304"/>
        <v>3.3770666666666664E-2</v>
      </c>
      <c r="CF221" s="21"/>
      <c r="CG221" s="21"/>
      <c r="CH221" s="21">
        <f t="shared" si="324"/>
        <v>0</v>
      </c>
      <c r="CI221" s="25">
        <f t="shared" si="312"/>
        <v>3.516864</v>
      </c>
      <c r="CJ221" s="54">
        <v>0.3</v>
      </c>
      <c r="CK221" s="21">
        <f t="shared" si="305"/>
        <v>1.1879999999999999</v>
      </c>
      <c r="CL221" s="55">
        <v>9264</v>
      </c>
      <c r="CM221" s="55"/>
      <c r="CN221" s="60"/>
      <c r="CO221" s="55"/>
      <c r="CP221" s="55"/>
      <c r="CQ221" s="55"/>
      <c r="CR221" s="55"/>
      <c r="CS221" s="55"/>
      <c r="CT221" s="55"/>
      <c r="CU221" s="55"/>
      <c r="CV221" s="55"/>
      <c r="CW221" s="55"/>
      <c r="CX221" s="55"/>
      <c r="CY221" s="21">
        <f t="shared" ref="CY221:CY253" si="343">(CT221+4*CU221+2*CV221+4*CW221+CX221)*AN221/12</f>
        <v>0</v>
      </c>
      <c r="CZ221" s="56"/>
      <c r="DA221" s="56"/>
      <c r="DB221" s="56"/>
      <c r="DC221" s="56"/>
      <c r="DD221" s="61">
        <f t="shared" si="313"/>
        <v>0</v>
      </c>
      <c r="DE221" s="21">
        <f t="shared" si="314"/>
        <v>0</v>
      </c>
      <c r="DF221" s="55"/>
      <c r="DG221" s="55"/>
      <c r="DH221" s="55"/>
      <c r="DI221" s="55"/>
      <c r="DJ221" s="104"/>
      <c r="DK221" s="53"/>
      <c r="DM221" s="58">
        <f t="shared" si="273"/>
        <v>639.74078879690148</v>
      </c>
      <c r="DN221" s="58">
        <f t="shared" ref="DN221:DN253" si="344">IF(wsex,0.5*wsex*width+(rwex-wsex)*width+trapeze*(rwex-wsex)/crew,0.5*(wsin-6)*width+(rwin-wsin)*width+trapeze*(rwin-wsin)/crew)</f>
        <v>681.92</v>
      </c>
      <c r="DO221" s="21">
        <f t="shared" ref="DO221:DO253" si="345">righting/heeling</f>
        <v>1.0659317210059731</v>
      </c>
      <c r="DP221" s="62">
        <f t="shared" si="332"/>
        <v>1</v>
      </c>
      <c r="DQ221" s="7" t="s">
        <v>130</v>
      </c>
      <c r="DR221" s="107">
        <f t="shared" si="274"/>
        <v>0</v>
      </c>
    </row>
    <row r="222" spans="1:122" ht="12.75" customHeight="1" x14ac:dyDescent="0.2">
      <c r="A222" s="53" t="s">
        <v>410</v>
      </c>
      <c r="B222" s="54">
        <v>2</v>
      </c>
      <c r="C222" s="92">
        <f t="shared" si="320"/>
        <v>114.78506566164238</v>
      </c>
      <c r="D222" s="92">
        <f t="shared" si="321"/>
        <v>108.92366744344575</v>
      </c>
      <c r="E222" s="92">
        <f>VLOOKUP(A222,[3]TRTOTAL!$A$7:$D$313,3,FALSE)</f>
        <v>114.78506566164238</v>
      </c>
      <c r="F222" s="92">
        <f>VLOOKUP(A222,[3]TRTOTAL!$A$7:$D$313,4,FALSE)</f>
        <v>108.92366744344575</v>
      </c>
      <c r="G222" s="92">
        <f t="shared" si="307"/>
        <v>0</v>
      </c>
      <c r="H222" s="92">
        <f t="shared" si="308"/>
        <v>0</v>
      </c>
      <c r="I222" s="54">
        <v>5.49</v>
      </c>
      <c r="J222" s="56">
        <v>5.18</v>
      </c>
      <c r="K222" s="54">
        <v>2.41</v>
      </c>
      <c r="L222" s="57">
        <v>2</v>
      </c>
      <c r="M222" s="57">
        <v>152</v>
      </c>
      <c r="N222" s="57"/>
      <c r="O222" s="87" t="s">
        <v>133</v>
      </c>
      <c r="P222" s="24">
        <f t="shared" si="280"/>
        <v>15.253699999999998</v>
      </c>
      <c r="Q222" s="24">
        <f t="shared" ref="Q222:Q253" si="346">voorvlm1+voorllm2</f>
        <v>7.87</v>
      </c>
      <c r="R222" s="24">
        <f t="shared" si="334"/>
        <v>4.3860000000000001</v>
      </c>
      <c r="S222" s="87">
        <v>8.5</v>
      </c>
      <c r="T222" s="21">
        <f t="shared" si="335"/>
        <v>4.8503999999999996</v>
      </c>
      <c r="U222" s="21"/>
      <c r="V222" s="24">
        <f t="shared" si="336"/>
        <v>2.33</v>
      </c>
      <c r="W222" s="24">
        <f t="shared" si="337"/>
        <v>2.4950000000000001</v>
      </c>
      <c r="X222" s="24">
        <f t="shared" si="338"/>
        <v>2.4503837333986604</v>
      </c>
      <c r="Y222" s="25">
        <f t="shared" si="315"/>
        <v>1</v>
      </c>
      <c r="Z222" s="24">
        <f t="shared" si="310"/>
        <v>13.372734849992595</v>
      </c>
      <c r="AA222" s="21">
        <f t="shared" si="339"/>
        <v>1.5176470588235296</v>
      </c>
      <c r="AB222" s="24">
        <f t="shared" si="322"/>
        <v>3.578923036584146</v>
      </c>
      <c r="AC222" s="24">
        <f t="shared" si="331"/>
        <v>19.636397891820799</v>
      </c>
      <c r="AD222" s="58">
        <f t="shared" si="340"/>
        <v>302</v>
      </c>
      <c r="AE222" s="58">
        <f t="shared" si="341"/>
        <v>308</v>
      </c>
      <c r="AF222" s="21">
        <f t="shared" si="316"/>
        <v>3.15</v>
      </c>
      <c r="AG222" s="77">
        <f t="shared" si="317"/>
        <v>0</v>
      </c>
      <c r="AH222" s="114">
        <f t="shared" si="311"/>
        <v>1.04</v>
      </c>
      <c r="AI222" s="59">
        <f t="shared" si="318"/>
        <v>113.85548454134477</v>
      </c>
      <c r="AJ222" s="59">
        <f t="shared" si="319"/>
        <v>108.04155456381842</v>
      </c>
      <c r="AK222" s="55">
        <v>7.87</v>
      </c>
      <c r="AL222" s="55"/>
      <c r="AM222" s="21">
        <f t="shared" si="342"/>
        <v>0</v>
      </c>
      <c r="AN222" s="54">
        <v>7.87</v>
      </c>
      <c r="AO222" s="55"/>
      <c r="AP222" s="21">
        <f t="shared" si="292"/>
        <v>0</v>
      </c>
      <c r="AQ222" s="55"/>
      <c r="AR222" s="55"/>
      <c r="AS222" s="21">
        <f t="shared" si="293"/>
        <v>0</v>
      </c>
      <c r="AT222" s="54"/>
      <c r="AU222" s="54"/>
      <c r="AV222" s="21">
        <f t="shared" si="294"/>
        <v>0</v>
      </c>
      <c r="AW222" s="54"/>
      <c r="AX222" s="54"/>
      <c r="AY222" s="21">
        <f t="shared" si="295"/>
        <v>0</v>
      </c>
      <c r="AZ222" s="54"/>
      <c r="BA222" s="54"/>
      <c r="BB222" s="21">
        <f t="shared" si="325"/>
        <v>0</v>
      </c>
      <c r="BC222" s="54"/>
      <c r="BD222" s="54"/>
      <c r="BE222" s="21">
        <f t="shared" si="326"/>
        <v>0</v>
      </c>
      <c r="BF222" s="55"/>
      <c r="BG222" s="55"/>
      <c r="BH222" s="21">
        <f t="shared" si="327"/>
        <v>0</v>
      </c>
      <c r="BI222" s="55"/>
      <c r="BJ222" s="55"/>
      <c r="BK222" s="21">
        <f t="shared" si="328"/>
        <v>0</v>
      </c>
      <c r="BL222" s="55"/>
      <c r="BM222" s="55"/>
      <c r="BN222" s="21">
        <f t="shared" si="329"/>
        <v>0</v>
      </c>
      <c r="BO222" s="55"/>
      <c r="BP222" s="55"/>
      <c r="BQ222" s="21">
        <f t="shared" si="330"/>
        <v>0</v>
      </c>
      <c r="BR222" s="55"/>
      <c r="BS222" s="21">
        <f t="shared" si="301"/>
        <v>0</v>
      </c>
      <c r="BT222" s="56">
        <v>5.16</v>
      </c>
      <c r="BU222" s="56">
        <v>1.7</v>
      </c>
      <c r="BV222" s="21">
        <f t="shared" si="302"/>
        <v>4.3860000000000001</v>
      </c>
      <c r="BW222" s="77">
        <f t="shared" si="323"/>
        <v>5.16</v>
      </c>
      <c r="BX222" s="55"/>
      <c r="BY222" s="21">
        <f t="shared" si="303"/>
        <v>0</v>
      </c>
      <c r="BZ222" s="55"/>
      <c r="CA222" s="55"/>
      <c r="CB222" s="21">
        <f t="shared" si="309"/>
        <v>0</v>
      </c>
      <c r="CC222" s="55"/>
      <c r="CD222" s="55"/>
      <c r="CE222" s="21">
        <f t="shared" si="304"/>
        <v>0</v>
      </c>
      <c r="CF222" s="21"/>
      <c r="CG222" s="21"/>
      <c r="CH222" s="21">
        <f t="shared" si="324"/>
        <v>0</v>
      </c>
      <c r="CI222" s="25">
        <f t="shared" si="312"/>
        <v>4.3860000000000001</v>
      </c>
      <c r="CJ222" s="54">
        <v>0.33</v>
      </c>
      <c r="CK222" s="21">
        <f t="shared" si="305"/>
        <v>1.4025000000000001</v>
      </c>
      <c r="CL222" s="55"/>
      <c r="CM222" s="55"/>
      <c r="CN222" s="60"/>
      <c r="CO222" s="55"/>
      <c r="CP222" s="55"/>
      <c r="CQ222" s="55"/>
      <c r="CR222" s="55"/>
      <c r="CS222" s="55"/>
      <c r="CT222" s="55">
        <v>0.13</v>
      </c>
      <c r="CU222" s="55">
        <v>1.32</v>
      </c>
      <c r="CV222" s="55">
        <v>2.0499999999999998</v>
      </c>
      <c r="CW222" s="55">
        <v>2.3199999999999998</v>
      </c>
      <c r="CX222" s="55">
        <v>2.33</v>
      </c>
      <c r="CY222" s="21">
        <f t="shared" si="343"/>
        <v>13.851199999999999</v>
      </c>
      <c r="CZ222" s="56"/>
      <c r="DA222" s="56"/>
      <c r="DB222" s="56"/>
      <c r="DC222" s="56"/>
      <c r="DD222" s="61">
        <f t="shared" si="313"/>
        <v>0</v>
      </c>
      <c r="DE222" s="21">
        <f t="shared" si="314"/>
        <v>0</v>
      </c>
      <c r="DF222" s="55"/>
      <c r="DG222" s="55"/>
      <c r="DH222" s="55"/>
      <c r="DI222" s="55"/>
      <c r="DJ222" s="104"/>
      <c r="DK222" s="53"/>
      <c r="DM222" s="58">
        <f t="shared" si="273"/>
        <v>747.95627685950967</v>
      </c>
      <c r="DN222" s="58">
        <f t="shared" si="344"/>
        <v>694.66000000000008</v>
      </c>
      <c r="DO222" s="21">
        <f t="shared" si="345"/>
        <v>0.92874412782082938</v>
      </c>
      <c r="DP222" s="62">
        <f t="shared" si="332"/>
        <v>1.0081645704117139</v>
      </c>
      <c r="DQ222" s="7" t="s">
        <v>130</v>
      </c>
      <c r="DR222" s="107">
        <f t="shared" si="274"/>
        <v>0</v>
      </c>
    </row>
    <row r="223" spans="1:122" ht="12.75" customHeight="1" x14ac:dyDescent="0.2">
      <c r="A223" s="53" t="s">
        <v>411</v>
      </c>
      <c r="B223" s="54">
        <v>2</v>
      </c>
      <c r="C223" s="92">
        <f t="shared" si="320"/>
        <v>116.24877568311787</v>
      </c>
      <c r="D223" s="92">
        <f t="shared" si="321"/>
        <v>109.99514233127086</v>
      </c>
      <c r="E223" s="92">
        <f>VLOOKUP(A223,[3]TRTOTAL!$A$7:$D$313,3,FALSE)</f>
        <v>116.24877568311787</v>
      </c>
      <c r="F223" s="92">
        <f>VLOOKUP(A223,[3]TRTOTAL!$A$7:$D$313,4,FALSE)</f>
        <v>109.99514233127086</v>
      </c>
      <c r="G223" s="92">
        <f t="shared" si="307"/>
        <v>0</v>
      </c>
      <c r="H223" s="92">
        <f t="shared" si="308"/>
        <v>0</v>
      </c>
      <c r="I223" s="54">
        <v>5.49</v>
      </c>
      <c r="J223" s="56">
        <v>5.18</v>
      </c>
      <c r="K223" s="54">
        <v>2.41</v>
      </c>
      <c r="L223" s="57">
        <v>2</v>
      </c>
      <c r="M223" s="57">
        <v>152</v>
      </c>
      <c r="N223" s="57"/>
      <c r="O223" s="87" t="s">
        <v>133</v>
      </c>
      <c r="P223" s="24">
        <f t="shared" si="280"/>
        <v>13.754050000000001</v>
      </c>
      <c r="Q223" s="24">
        <f t="shared" si="346"/>
        <v>7.33</v>
      </c>
      <c r="R223" s="24">
        <f t="shared" si="334"/>
        <v>4.5240833333333335</v>
      </c>
      <c r="S223" s="87">
        <v>7.92</v>
      </c>
      <c r="T223" s="21">
        <f t="shared" si="335"/>
        <v>5.0102000000000002</v>
      </c>
      <c r="U223" s="21"/>
      <c r="V223" s="24">
        <f t="shared" si="336"/>
        <v>2.0750000000000002</v>
      </c>
      <c r="W223" s="24">
        <f t="shared" si="337"/>
        <v>2.23</v>
      </c>
      <c r="X223" s="24">
        <f t="shared" si="338"/>
        <v>2.7658006394659056</v>
      </c>
      <c r="Y223" s="25">
        <f t="shared" si="315"/>
        <v>1</v>
      </c>
      <c r="Z223" s="24">
        <f t="shared" si="310"/>
        <v>12.504077688302958</v>
      </c>
      <c r="AA223" s="21">
        <f t="shared" si="339"/>
        <v>1.3809356653744798</v>
      </c>
      <c r="AB223" s="24">
        <f t="shared" si="322"/>
        <v>3.5885179778665552</v>
      </c>
      <c r="AC223" s="24">
        <f t="shared" si="331"/>
        <v>18.776088329046864</v>
      </c>
      <c r="AD223" s="58">
        <f t="shared" si="340"/>
        <v>302</v>
      </c>
      <c r="AE223" s="58">
        <f t="shared" si="341"/>
        <v>308</v>
      </c>
      <c r="AF223" s="21">
        <f t="shared" si="316"/>
        <v>3.15</v>
      </c>
      <c r="AG223" s="77">
        <f t="shared" si="317"/>
        <v>0</v>
      </c>
      <c r="AH223" s="114">
        <f t="shared" si="311"/>
        <v>1.04</v>
      </c>
      <c r="AI223" s="59">
        <f t="shared" si="318"/>
        <v>116.24877568311787</v>
      </c>
      <c r="AJ223" s="59">
        <f t="shared" si="319"/>
        <v>109.99514233127086</v>
      </c>
      <c r="AK223" s="55">
        <v>7.33</v>
      </c>
      <c r="AL223" s="55">
        <v>2.0750000000000002</v>
      </c>
      <c r="AM223" s="21">
        <f t="shared" si="342"/>
        <v>7.6048750000000007</v>
      </c>
      <c r="AN223" s="54">
        <v>7.33</v>
      </c>
      <c r="AO223" s="55">
        <v>0.125</v>
      </c>
      <c r="AP223" s="21">
        <f t="shared" si="292"/>
        <v>0.61083333333333334</v>
      </c>
      <c r="AQ223" s="55">
        <v>5.8550000000000004</v>
      </c>
      <c r="AR223" s="55">
        <v>0.28999999999999998</v>
      </c>
      <c r="AS223" s="21">
        <f t="shared" si="293"/>
        <v>1.1319666666666668</v>
      </c>
      <c r="AT223" s="54">
        <v>7.2649999999999997</v>
      </c>
      <c r="AU223" s="54">
        <v>0.83</v>
      </c>
      <c r="AV223" s="21">
        <f t="shared" si="294"/>
        <v>3.0149749999999997</v>
      </c>
      <c r="AW223" s="54">
        <v>1.68</v>
      </c>
      <c r="AX223" s="54">
        <v>0.19500000000000001</v>
      </c>
      <c r="AY223" s="21">
        <f t="shared" si="295"/>
        <v>0.1638</v>
      </c>
      <c r="AZ223" s="54"/>
      <c r="BA223" s="54"/>
      <c r="BB223" s="21">
        <f t="shared" si="325"/>
        <v>0</v>
      </c>
      <c r="BC223" s="54"/>
      <c r="BD223" s="54"/>
      <c r="BE223" s="21">
        <f t="shared" si="326"/>
        <v>0</v>
      </c>
      <c r="BF223" s="55"/>
      <c r="BG223" s="55"/>
      <c r="BH223" s="21">
        <f t="shared" si="327"/>
        <v>0</v>
      </c>
      <c r="BI223" s="55"/>
      <c r="BJ223" s="55"/>
      <c r="BK223" s="21">
        <f t="shared" si="328"/>
        <v>0</v>
      </c>
      <c r="BL223" s="55"/>
      <c r="BM223" s="55"/>
      <c r="BN223" s="21">
        <f t="shared" si="329"/>
        <v>0</v>
      </c>
      <c r="BO223" s="55"/>
      <c r="BP223" s="55"/>
      <c r="BQ223" s="21">
        <f t="shared" si="330"/>
        <v>0</v>
      </c>
      <c r="BR223" s="55"/>
      <c r="BS223" s="21">
        <f t="shared" si="301"/>
        <v>12.526450000000001</v>
      </c>
      <c r="BT223" s="56">
        <v>5.33</v>
      </c>
      <c r="BU223" s="56">
        <v>1.81</v>
      </c>
      <c r="BV223" s="21">
        <f t="shared" si="302"/>
        <v>4.8236499999999998</v>
      </c>
      <c r="BW223" s="77">
        <f t="shared" si="323"/>
        <v>5.33</v>
      </c>
      <c r="BX223" s="55"/>
      <c r="BY223" s="21">
        <f t="shared" si="303"/>
        <v>0</v>
      </c>
      <c r="BZ223" s="55">
        <v>5.03</v>
      </c>
      <c r="CA223" s="55">
        <v>-9.5000000000000001E-2</v>
      </c>
      <c r="CB223" s="21">
        <f t="shared" si="309"/>
        <v>-0.31856666666666672</v>
      </c>
      <c r="CC223" s="54">
        <v>1.9</v>
      </c>
      <c r="CD223" s="54">
        <v>1.4999999999999999E-2</v>
      </c>
      <c r="CE223" s="21">
        <f t="shared" si="304"/>
        <v>1.9E-2</v>
      </c>
      <c r="CF223" s="21"/>
      <c r="CG223" s="21"/>
      <c r="CH223" s="21">
        <f t="shared" si="324"/>
        <v>0</v>
      </c>
      <c r="CI223" s="25">
        <f t="shared" si="312"/>
        <v>4.5240833333333335</v>
      </c>
      <c r="CJ223" s="54">
        <v>0.31</v>
      </c>
      <c r="CK223" s="21">
        <f t="shared" si="305"/>
        <v>1.2276</v>
      </c>
      <c r="CL223" s="55">
        <v>28</v>
      </c>
      <c r="CM223" s="55"/>
      <c r="CN223" s="60"/>
      <c r="CO223" s="55"/>
      <c r="CP223" s="55"/>
      <c r="CQ223" s="55"/>
      <c r="CR223" s="55"/>
      <c r="CS223" s="55"/>
      <c r="CT223" s="55"/>
      <c r="CU223" s="55"/>
      <c r="CV223" s="55"/>
      <c r="CW223" s="55"/>
      <c r="CX223" s="55"/>
      <c r="CY223" s="21">
        <f t="shared" si="343"/>
        <v>0</v>
      </c>
      <c r="CZ223" s="56"/>
      <c r="DA223" s="56"/>
      <c r="DB223" s="56"/>
      <c r="DC223" s="56"/>
      <c r="DD223" s="61">
        <f t="shared" si="313"/>
        <v>0</v>
      </c>
      <c r="DE223" s="21">
        <f t="shared" si="314"/>
        <v>0</v>
      </c>
      <c r="DF223" s="55"/>
      <c r="DG223" s="55"/>
      <c r="DH223" s="55"/>
      <c r="DI223" s="55"/>
      <c r="DJ223" s="104"/>
      <c r="DK223" s="53"/>
      <c r="DM223" s="58">
        <f t="shared" si="273"/>
        <v>660.83338995738166</v>
      </c>
      <c r="DN223" s="58">
        <f t="shared" si="344"/>
        <v>694.66000000000008</v>
      </c>
      <c r="DO223" s="21">
        <f t="shared" si="345"/>
        <v>1.0511878040012475</v>
      </c>
      <c r="DP223" s="62">
        <f t="shared" si="332"/>
        <v>1</v>
      </c>
      <c r="DQ223" s="7">
        <v>0</v>
      </c>
      <c r="DR223" s="107">
        <f t="shared" si="274"/>
        <v>0</v>
      </c>
    </row>
    <row r="224" spans="1:122" ht="12.75" customHeight="1" x14ac:dyDescent="0.2">
      <c r="A224" s="53" t="s">
        <v>412</v>
      </c>
      <c r="B224" s="54">
        <v>2</v>
      </c>
      <c r="C224" s="92">
        <f t="shared" si="320"/>
        <v>108.1541360109658</v>
      </c>
      <c r="D224" s="92">
        <f t="shared" si="321"/>
        <v>103.93460666318573</v>
      </c>
      <c r="E224" s="92">
        <f>VLOOKUP(A224,[3]TRTOTAL!$A$7:$D$313,3,FALSE)</f>
        <v>108.1541360109658</v>
      </c>
      <c r="F224" s="92">
        <f>VLOOKUP(A224,[3]TRTOTAL!$A$7:$D$313,4,FALSE)</f>
        <v>103.93460666318573</v>
      </c>
      <c r="G224" s="92">
        <f t="shared" si="307"/>
        <v>0</v>
      </c>
      <c r="H224" s="92">
        <f t="shared" si="308"/>
        <v>0</v>
      </c>
      <c r="I224" s="54">
        <v>5.49</v>
      </c>
      <c r="J224" s="56">
        <v>5.24</v>
      </c>
      <c r="K224" s="54">
        <v>2.59</v>
      </c>
      <c r="L224" s="57">
        <v>2</v>
      </c>
      <c r="M224" s="57">
        <v>170</v>
      </c>
      <c r="N224" s="57"/>
      <c r="O224" s="87"/>
      <c r="P224" s="24">
        <f t="shared" si="280"/>
        <v>16.928350333333334</v>
      </c>
      <c r="Q224" s="24">
        <f t="shared" si="346"/>
        <v>8.01</v>
      </c>
      <c r="R224" s="24">
        <f t="shared" si="334"/>
        <v>4.8745616666666658</v>
      </c>
      <c r="S224" s="87">
        <v>8.75</v>
      </c>
      <c r="T224" s="21">
        <f t="shared" si="335"/>
        <v>5.1117199999999992</v>
      </c>
      <c r="U224" s="21"/>
      <c r="V224" s="24">
        <f t="shared" si="336"/>
        <v>2.476</v>
      </c>
      <c r="W224" s="24">
        <f t="shared" si="337"/>
        <v>2.6360000000000001</v>
      </c>
      <c r="X224" s="24">
        <f t="shared" si="338"/>
        <v>2.436261074818685</v>
      </c>
      <c r="Y224" s="25">
        <f t="shared" si="315"/>
        <v>1</v>
      </c>
      <c r="Z224" s="24">
        <f t="shared" si="310"/>
        <v>14.815168279155294</v>
      </c>
      <c r="AA224" s="21">
        <f t="shared" si="339"/>
        <v>1.4014509316293988</v>
      </c>
      <c r="AB224" s="24">
        <f t="shared" si="322"/>
        <v>3.8836620771126902</v>
      </c>
      <c r="AC224" s="24">
        <f t="shared" si="331"/>
        <v>20.968954286243331</v>
      </c>
      <c r="AD224" s="58">
        <f t="shared" si="340"/>
        <v>320</v>
      </c>
      <c r="AE224" s="58">
        <f t="shared" si="341"/>
        <v>326</v>
      </c>
      <c r="AF224" s="21">
        <f t="shared" si="316"/>
        <v>2.7749999999999999</v>
      </c>
      <c r="AG224" s="77">
        <f t="shared" si="317"/>
        <v>0</v>
      </c>
      <c r="AH224" s="114">
        <f t="shared" si="311"/>
        <v>1</v>
      </c>
      <c r="AI224" s="59">
        <f t="shared" si="318"/>
        <v>106.89336279259555</v>
      </c>
      <c r="AJ224" s="59">
        <f t="shared" si="319"/>
        <v>102.72302129645038</v>
      </c>
      <c r="AK224" s="55">
        <v>8.0500000000000007</v>
      </c>
      <c r="AL224" s="55">
        <v>2.476</v>
      </c>
      <c r="AM224" s="21">
        <f t="shared" si="342"/>
        <v>9.9659000000000013</v>
      </c>
      <c r="AN224" s="54">
        <v>8.01</v>
      </c>
      <c r="AO224" s="55">
        <v>0.13900000000000001</v>
      </c>
      <c r="AP224" s="21">
        <f t="shared" ref="AP224:AP256" si="347">AN224*AO224*2/3</f>
        <v>0.74226000000000003</v>
      </c>
      <c r="AQ224" s="55"/>
      <c r="AR224" s="55"/>
      <c r="AS224" s="21">
        <f t="shared" si="293"/>
        <v>0</v>
      </c>
      <c r="AT224" s="54">
        <v>8.0549999999999997</v>
      </c>
      <c r="AU224" s="54">
        <v>0.90100000000000002</v>
      </c>
      <c r="AV224" s="21">
        <f t="shared" si="294"/>
        <v>3.6287775</v>
      </c>
      <c r="AW224" s="54">
        <v>2.8330000000000002</v>
      </c>
      <c r="AX224" s="54">
        <v>0.23699999999999999</v>
      </c>
      <c r="AY224" s="21">
        <f t="shared" si="295"/>
        <v>0.33571050000000002</v>
      </c>
      <c r="AZ224" s="54">
        <v>5.444</v>
      </c>
      <c r="BA224" s="54">
        <v>0.187</v>
      </c>
      <c r="BB224" s="21">
        <f t="shared" si="325"/>
        <v>0.67868533333333325</v>
      </c>
      <c r="BC224" s="54"/>
      <c r="BD224" s="54"/>
      <c r="BE224" s="21">
        <f t="shared" si="326"/>
        <v>0</v>
      </c>
      <c r="BF224" s="55">
        <v>1.7789999999999999</v>
      </c>
      <c r="BG224" s="55">
        <v>0.14599999999999999</v>
      </c>
      <c r="BH224" s="21">
        <f t="shared" si="327"/>
        <v>0.12986699999999998</v>
      </c>
      <c r="BI224" s="55">
        <v>0.94299999999999995</v>
      </c>
      <c r="BJ224" s="55">
        <v>7.4999999999999997E-2</v>
      </c>
      <c r="BK224" s="21">
        <f t="shared" si="328"/>
        <v>4.7149999999999997E-2</v>
      </c>
      <c r="BL224" s="55"/>
      <c r="BM224" s="55"/>
      <c r="BN224" s="21">
        <f t="shared" si="329"/>
        <v>0</v>
      </c>
      <c r="BO224" s="55"/>
      <c r="BP224" s="55"/>
      <c r="BQ224" s="21">
        <f t="shared" si="330"/>
        <v>0</v>
      </c>
      <c r="BR224" s="55"/>
      <c r="BS224" s="21">
        <f t="shared" ref="BS224:BS256" si="348">AM224+AP224+AS224+AV224+AY224+BB224+BE224+BH224+BK224+BN224+BQ224</f>
        <v>15.528350333333336</v>
      </c>
      <c r="BT224" s="56">
        <v>5.4379999999999997</v>
      </c>
      <c r="BU224" s="56">
        <v>1.865</v>
      </c>
      <c r="BV224" s="21">
        <f t="shared" si="302"/>
        <v>5.0709349999999995</v>
      </c>
      <c r="BW224" s="77">
        <f t="shared" si="323"/>
        <v>5.4379999999999997</v>
      </c>
      <c r="BX224" s="55"/>
      <c r="BY224" s="21">
        <f t="shared" si="303"/>
        <v>0</v>
      </c>
      <c r="BZ224" s="55">
        <v>5.26</v>
      </c>
      <c r="CA224" s="55">
        <v>-5.6000000000000001E-2</v>
      </c>
      <c r="CB224" s="21">
        <f t="shared" si="309"/>
        <v>-0.19637333333333332</v>
      </c>
      <c r="CC224" s="55"/>
      <c r="CD224" s="55"/>
      <c r="CE224" s="21">
        <f t="shared" si="304"/>
        <v>0</v>
      </c>
      <c r="CF224" s="21"/>
      <c r="CG224" s="21"/>
      <c r="CH224" s="21">
        <f t="shared" si="324"/>
        <v>0</v>
      </c>
      <c r="CI224" s="25">
        <f t="shared" si="312"/>
        <v>4.8745616666666658</v>
      </c>
      <c r="CJ224" s="54">
        <v>0.32</v>
      </c>
      <c r="CK224" s="21">
        <f t="shared" ref="CK224:CK256" si="349">MastLength*circMast*0.5</f>
        <v>1.4000000000000001</v>
      </c>
      <c r="CL224" s="55">
        <v>34</v>
      </c>
      <c r="CM224" s="55"/>
      <c r="CN224" s="60"/>
      <c r="CO224" s="55"/>
      <c r="CP224" s="55"/>
      <c r="CQ224" s="55"/>
      <c r="CR224" s="55"/>
      <c r="CS224" s="55"/>
      <c r="CT224" s="55"/>
      <c r="CU224" s="55"/>
      <c r="CV224" s="55"/>
      <c r="CW224" s="55"/>
      <c r="CX224" s="55"/>
      <c r="CY224" s="21">
        <f t="shared" si="343"/>
        <v>0</v>
      </c>
      <c r="CZ224" s="56"/>
      <c r="DA224" s="56"/>
      <c r="DB224" s="56"/>
      <c r="DC224" s="56"/>
      <c r="DD224" s="61">
        <f t="shared" si="313"/>
        <v>0</v>
      </c>
      <c r="DE224" s="21">
        <f t="shared" si="314"/>
        <v>18.5</v>
      </c>
      <c r="DF224" s="55"/>
      <c r="DG224" s="55"/>
      <c r="DH224" s="55"/>
      <c r="DI224" s="55">
        <v>18.5</v>
      </c>
      <c r="DJ224" s="104"/>
      <c r="DK224" s="53"/>
      <c r="DM224" s="58">
        <f t="shared" si="273"/>
        <v>843.98735252234781</v>
      </c>
      <c r="DN224" s="58">
        <f t="shared" si="344"/>
        <v>758.65</v>
      </c>
      <c r="DO224" s="21">
        <f t="shared" si="345"/>
        <v>0.89888787756438782</v>
      </c>
      <c r="DP224" s="62">
        <f t="shared" si="332"/>
        <v>1.0117946819655821</v>
      </c>
      <c r="DQ224" s="7" t="s">
        <v>130</v>
      </c>
      <c r="DR224" s="107">
        <f t="shared" si="274"/>
        <v>0</v>
      </c>
    </row>
    <row r="225" spans="1:122" ht="12.75" customHeight="1" x14ac:dyDescent="0.2">
      <c r="A225" s="53" t="s">
        <v>413</v>
      </c>
      <c r="B225" s="54">
        <v>2</v>
      </c>
      <c r="C225" s="92">
        <f t="shared" si="320"/>
        <v>105.8539787218365</v>
      </c>
      <c r="D225" s="92">
        <f t="shared" si="321"/>
        <v>101.38108259531923</v>
      </c>
      <c r="E225" s="92">
        <f>VLOOKUP(A225,[3]TRTOTAL!$A$7:$D$313,3,FALSE)</f>
        <v>105.8539787218365</v>
      </c>
      <c r="F225" s="92">
        <f>VLOOKUP(A225,[3]TRTOTAL!$A$7:$D$313,4,FALSE)</f>
        <v>101.38108259531923</v>
      </c>
      <c r="G225" s="92">
        <f t="shared" si="307"/>
        <v>0</v>
      </c>
      <c r="H225" s="92">
        <f t="shared" si="308"/>
        <v>0</v>
      </c>
      <c r="I225" s="54">
        <v>5.47</v>
      </c>
      <c r="J225" s="56">
        <v>5.37</v>
      </c>
      <c r="K225" s="54">
        <v>2.59</v>
      </c>
      <c r="L225" s="57">
        <v>2</v>
      </c>
      <c r="M225" s="57">
        <v>175</v>
      </c>
      <c r="N225" s="57"/>
      <c r="O225" s="87"/>
      <c r="P225" s="24">
        <v>17.399999999999999</v>
      </c>
      <c r="Q225" s="24">
        <f t="shared" si="346"/>
        <v>8.4600000000000009</v>
      </c>
      <c r="R225" s="24">
        <f t="shared" si="334"/>
        <v>5.1482666666666654</v>
      </c>
      <c r="S225" s="87">
        <v>8.9</v>
      </c>
      <c r="T225" s="21">
        <f t="shared" si="335"/>
        <v>5.5271999999999997</v>
      </c>
      <c r="U225" s="21"/>
      <c r="V225" s="24">
        <f t="shared" si="336"/>
        <v>2.34</v>
      </c>
      <c r="W225" s="24">
        <f t="shared" si="337"/>
        <v>2.5049999999999999</v>
      </c>
      <c r="X225" s="24">
        <f t="shared" si="338"/>
        <v>2.7728973191341866</v>
      </c>
      <c r="Y225" s="25">
        <f t="shared" si="315"/>
        <v>1</v>
      </c>
      <c r="Z225" s="24">
        <f t="shared" si="310"/>
        <v>15.830848302951852</v>
      </c>
      <c r="AA225" s="21">
        <f t="shared" si="339"/>
        <v>1.4566168703787534</v>
      </c>
      <c r="AB225" s="24">
        <f t="shared" si="322"/>
        <v>4.1495130163538398</v>
      </c>
      <c r="AC225" s="24">
        <f t="shared" si="331"/>
        <v>22.590924627179696</v>
      </c>
      <c r="AD225" s="58">
        <f t="shared" si="340"/>
        <v>325</v>
      </c>
      <c r="AE225" s="58">
        <f t="shared" si="341"/>
        <v>331</v>
      </c>
      <c r="AF225" s="21">
        <f t="shared" si="316"/>
        <v>3.15</v>
      </c>
      <c r="AG225" s="77">
        <f t="shared" si="317"/>
        <v>0</v>
      </c>
      <c r="AH225" s="114">
        <f t="shared" si="311"/>
        <v>1</v>
      </c>
      <c r="AI225" s="59">
        <f t="shared" si="318"/>
        <v>103.85577028950331</v>
      </c>
      <c r="AJ225" s="59">
        <f t="shared" si="319"/>
        <v>99.46730914469272</v>
      </c>
      <c r="AK225" s="55">
        <v>8.4600000000000009</v>
      </c>
      <c r="AL225" s="55">
        <v>2.34</v>
      </c>
      <c r="AM225" s="21">
        <f t="shared" si="342"/>
        <v>9.898200000000001</v>
      </c>
      <c r="AN225" s="54">
        <v>8.4600000000000009</v>
      </c>
      <c r="AO225" s="55">
        <v>0.13</v>
      </c>
      <c r="AP225" s="21">
        <f t="shared" si="347"/>
        <v>0.73320000000000007</v>
      </c>
      <c r="AQ225" s="55"/>
      <c r="AR225" s="55"/>
      <c r="AS225" s="21">
        <f t="shared" si="293"/>
        <v>0</v>
      </c>
      <c r="AT225" s="54">
        <v>8.5500000000000007</v>
      </c>
      <c r="AU225" s="54">
        <v>0.72</v>
      </c>
      <c r="AV225" s="21">
        <f t="shared" si="294"/>
        <v>3.0780000000000003</v>
      </c>
      <c r="AW225" s="54"/>
      <c r="AX225" s="54"/>
      <c r="AY225" s="21">
        <f t="shared" si="295"/>
        <v>0</v>
      </c>
      <c r="AZ225" s="54">
        <v>8.2899999999999991</v>
      </c>
      <c r="BA225" s="54">
        <v>0.35</v>
      </c>
      <c r="BB225" s="21">
        <f t="shared" si="325"/>
        <v>1.934333333333333</v>
      </c>
      <c r="BC225" s="54"/>
      <c r="BD225" s="54"/>
      <c r="BE225" s="21">
        <f t="shared" si="326"/>
        <v>0</v>
      </c>
      <c r="BF225" s="55"/>
      <c r="BG225" s="55"/>
      <c r="BH225" s="21">
        <f t="shared" si="327"/>
        <v>0</v>
      </c>
      <c r="BI225" s="55"/>
      <c r="BJ225" s="55"/>
      <c r="BK225" s="21">
        <f t="shared" si="328"/>
        <v>0</v>
      </c>
      <c r="BL225" s="55"/>
      <c r="BM225" s="55"/>
      <c r="BN225" s="21">
        <f t="shared" si="329"/>
        <v>0</v>
      </c>
      <c r="BO225" s="55"/>
      <c r="BP225" s="55"/>
      <c r="BQ225" s="21">
        <f t="shared" si="330"/>
        <v>0</v>
      </c>
      <c r="BR225" s="55"/>
      <c r="BS225" s="21">
        <f t="shared" si="348"/>
        <v>15.643733333333335</v>
      </c>
      <c r="BT225" s="56">
        <v>5.88</v>
      </c>
      <c r="BU225" s="56">
        <v>1.88</v>
      </c>
      <c r="BV225" s="21">
        <f t="shared" si="302"/>
        <v>5.5271999999999997</v>
      </c>
      <c r="BW225" s="77">
        <f t="shared" si="323"/>
        <v>5.88</v>
      </c>
      <c r="BX225" s="55">
        <v>-0.03</v>
      </c>
      <c r="BY225" s="21">
        <f t="shared" si="303"/>
        <v>-0.1176</v>
      </c>
      <c r="BZ225" s="55">
        <v>2</v>
      </c>
      <c r="CA225" s="55">
        <v>0.02</v>
      </c>
      <c r="CB225" s="21">
        <f t="shared" si="309"/>
        <v>2.6666666666666668E-2</v>
      </c>
      <c r="CC225" s="55">
        <v>5.4</v>
      </c>
      <c r="CD225" s="55">
        <v>-0.08</v>
      </c>
      <c r="CE225" s="21">
        <f t="shared" si="304"/>
        <v>-0.28800000000000003</v>
      </c>
      <c r="CF225" s="21"/>
      <c r="CG225" s="21"/>
      <c r="CH225" s="21">
        <f t="shared" si="324"/>
        <v>0</v>
      </c>
      <c r="CI225" s="25">
        <f t="shared" si="312"/>
        <v>5.1482666666666654</v>
      </c>
      <c r="CJ225" s="54">
        <v>0.33</v>
      </c>
      <c r="CK225" s="21">
        <f t="shared" si="349"/>
        <v>1.4685000000000001</v>
      </c>
      <c r="CL225" s="55">
        <v>210</v>
      </c>
      <c r="CM225" s="55" t="s">
        <v>414</v>
      </c>
      <c r="CN225" s="60">
        <v>39255</v>
      </c>
      <c r="CO225" s="55" t="s">
        <v>415</v>
      </c>
      <c r="CP225" s="55"/>
      <c r="CQ225" s="55"/>
      <c r="CR225" s="55"/>
      <c r="CS225" s="55"/>
      <c r="CT225" s="55"/>
      <c r="CU225" s="55"/>
      <c r="CV225" s="55"/>
      <c r="CW225" s="55"/>
      <c r="CX225" s="55"/>
      <c r="CY225" s="21">
        <f t="shared" si="343"/>
        <v>0</v>
      </c>
      <c r="CZ225" s="56"/>
      <c r="DA225" s="56"/>
      <c r="DB225" s="56"/>
      <c r="DC225" s="56"/>
      <c r="DD225" s="61">
        <f t="shared" si="313"/>
        <v>0</v>
      </c>
      <c r="DE225" s="21">
        <f t="shared" si="314"/>
        <v>0</v>
      </c>
      <c r="DF225" s="55"/>
      <c r="DG225" s="55"/>
      <c r="DH225" s="55"/>
      <c r="DI225" s="55"/>
      <c r="DJ225" s="104"/>
      <c r="DK225" s="53" t="s">
        <v>416</v>
      </c>
      <c r="DM225" s="58">
        <f t="shared" si="273"/>
        <v>909.85838911253688</v>
      </c>
      <c r="DN225" s="58">
        <f t="shared" si="344"/>
        <v>765.125</v>
      </c>
      <c r="DO225" s="21">
        <f t="shared" si="345"/>
        <v>0.84092756538332547</v>
      </c>
      <c r="DP225" s="62">
        <f t="shared" si="332"/>
        <v>1.0192402254276587</v>
      </c>
      <c r="DQ225" s="7">
        <v>0</v>
      </c>
      <c r="DR225" s="107">
        <f t="shared" si="274"/>
        <v>0</v>
      </c>
    </row>
    <row r="226" spans="1:122" ht="12.75" customHeight="1" x14ac:dyDescent="0.2">
      <c r="A226" s="53" t="s">
        <v>417</v>
      </c>
      <c r="B226" s="54">
        <v>2</v>
      </c>
      <c r="C226" s="92">
        <f t="shared" si="320"/>
        <v>104.88553025087498</v>
      </c>
      <c r="D226" s="92">
        <f t="shared" si="321"/>
        <v>99.355243762846996</v>
      </c>
      <c r="E226" s="92">
        <f>VLOOKUP(A226,[3]TRTOTAL!$A$7:$D$313,3,FALSE)</f>
        <v>104.88553025087498</v>
      </c>
      <c r="F226" s="92">
        <f>VLOOKUP(A226,[3]TRTOTAL!$A$7:$D$313,4,FALSE)</f>
        <v>99.355243762846996</v>
      </c>
      <c r="G226" s="92">
        <f t="shared" si="307"/>
        <v>0</v>
      </c>
      <c r="H226" s="92">
        <f t="shared" si="308"/>
        <v>0</v>
      </c>
      <c r="I226" s="54">
        <v>5.88</v>
      </c>
      <c r="J226" s="56">
        <v>5.64</v>
      </c>
      <c r="K226" s="54">
        <v>2.59</v>
      </c>
      <c r="L226" s="57">
        <v>2</v>
      </c>
      <c r="M226" s="57">
        <v>175</v>
      </c>
      <c r="N226" s="57"/>
      <c r="O226" s="87"/>
      <c r="P226" s="24">
        <f t="shared" ref="P226:P258" si="350">marea+areaMast+mssam+mareNoDet</f>
        <v>17.785019666666667</v>
      </c>
      <c r="Q226" s="24">
        <f t="shared" si="346"/>
        <v>8.43</v>
      </c>
      <c r="R226" s="24">
        <f t="shared" si="334"/>
        <v>5.1145585000000002</v>
      </c>
      <c r="S226" s="87">
        <v>9</v>
      </c>
      <c r="T226" s="21">
        <f t="shared" si="335"/>
        <v>5.5112199999999998</v>
      </c>
      <c r="U226" s="21"/>
      <c r="V226" s="24">
        <f t="shared" si="336"/>
        <v>2.52</v>
      </c>
      <c r="W226" s="24">
        <f t="shared" si="337"/>
        <v>2.6850000000000001</v>
      </c>
      <c r="X226" s="24">
        <f t="shared" si="338"/>
        <v>2.4669808012188086</v>
      </c>
      <c r="Y226" s="25">
        <f t="shared" si="315"/>
        <v>1</v>
      </c>
      <c r="Z226" s="24">
        <f t="shared" si="310"/>
        <v>15.62351984455978</v>
      </c>
      <c r="AA226" s="21">
        <f t="shared" si="339"/>
        <v>1.50576597699674</v>
      </c>
      <c r="AB226" s="24">
        <f t="shared" si="322"/>
        <v>4.1635893676333078</v>
      </c>
      <c r="AC226" s="24">
        <f t="shared" si="331"/>
        <v>22.995842594400756</v>
      </c>
      <c r="AD226" s="58">
        <f t="shared" si="340"/>
        <v>325</v>
      </c>
      <c r="AE226" s="58">
        <f t="shared" si="341"/>
        <v>331</v>
      </c>
      <c r="AF226" s="21">
        <f t="shared" si="316"/>
        <v>3.75</v>
      </c>
      <c r="AG226" s="77">
        <f t="shared" si="317"/>
        <v>0</v>
      </c>
      <c r="AH226" s="114">
        <f t="shared" si="311"/>
        <v>1</v>
      </c>
      <c r="AI226" s="59">
        <f t="shared" si="318"/>
        <v>102.7371657366896</v>
      </c>
      <c r="AJ226" s="59">
        <f t="shared" si="319"/>
        <v>97.320155800877544</v>
      </c>
      <c r="AK226" s="55">
        <v>8.43</v>
      </c>
      <c r="AL226" s="55">
        <v>2.52</v>
      </c>
      <c r="AM226" s="21">
        <f t="shared" si="342"/>
        <v>10.6218</v>
      </c>
      <c r="AN226" s="54">
        <v>8.43</v>
      </c>
      <c r="AO226" s="55">
        <v>9.5000000000000001E-2</v>
      </c>
      <c r="AP226" s="21">
        <f t="shared" si="347"/>
        <v>0.53389999999999993</v>
      </c>
      <c r="AQ226" s="55"/>
      <c r="AR226" s="55"/>
      <c r="AS226" s="21">
        <f t="shared" si="293"/>
        <v>0</v>
      </c>
      <c r="AT226" s="54">
        <v>8.5</v>
      </c>
      <c r="AU226" s="54">
        <v>0.86</v>
      </c>
      <c r="AV226" s="21">
        <f t="shared" si="294"/>
        <v>3.6549999999999998</v>
      </c>
      <c r="AW226" s="54">
        <v>6.51</v>
      </c>
      <c r="AX226" s="54">
        <v>0.34200000000000003</v>
      </c>
      <c r="AY226" s="21">
        <f t="shared" si="295"/>
        <v>1.11321</v>
      </c>
      <c r="AZ226" s="54"/>
      <c r="BA226" s="54"/>
      <c r="BB226" s="21">
        <f t="shared" si="325"/>
        <v>0</v>
      </c>
      <c r="BC226" s="54">
        <v>2.222</v>
      </c>
      <c r="BD226" s="54">
        <v>0.17100000000000001</v>
      </c>
      <c r="BE226" s="21">
        <f t="shared" si="326"/>
        <v>0.25330800000000003</v>
      </c>
      <c r="BF226" s="55">
        <v>1.585</v>
      </c>
      <c r="BG226" s="55">
        <v>0.11799999999999999</v>
      </c>
      <c r="BH226" s="21">
        <f t="shared" si="327"/>
        <v>9.3514999999999987E-2</v>
      </c>
      <c r="BI226" s="55">
        <v>0.95499999999999996</v>
      </c>
      <c r="BJ226" s="55">
        <v>4.5999999999999999E-2</v>
      </c>
      <c r="BK226" s="21">
        <f t="shared" si="328"/>
        <v>2.9286666666666666E-2</v>
      </c>
      <c r="BL226" s="55"/>
      <c r="BM226" s="55"/>
      <c r="BN226" s="21">
        <f t="shared" si="329"/>
        <v>0</v>
      </c>
      <c r="BO226" s="55"/>
      <c r="BP226" s="55"/>
      <c r="BQ226" s="21">
        <f t="shared" si="330"/>
        <v>0</v>
      </c>
      <c r="BR226" s="55"/>
      <c r="BS226" s="21">
        <f t="shared" si="348"/>
        <v>16.300019666666667</v>
      </c>
      <c r="BT226" s="56">
        <v>5.8630000000000004</v>
      </c>
      <c r="BU226" s="56">
        <v>1.843</v>
      </c>
      <c r="BV226" s="21">
        <f t="shared" si="302"/>
        <v>5.4027545000000003</v>
      </c>
      <c r="BW226" s="77">
        <f t="shared" si="323"/>
        <v>5.8630000000000004</v>
      </c>
      <c r="BX226" s="55"/>
      <c r="BY226" s="21">
        <f t="shared" si="303"/>
        <v>0</v>
      </c>
      <c r="BZ226" s="55">
        <v>5.5</v>
      </c>
      <c r="CA226" s="55">
        <v>-9.5000000000000001E-2</v>
      </c>
      <c r="CB226" s="21">
        <f t="shared" si="309"/>
        <v>-0.34833333333333333</v>
      </c>
      <c r="CC226" s="54">
        <v>1.9610000000000001</v>
      </c>
      <c r="CD226" s="54">
        <v>4.5999999999999999E-2</v>
      </c>
      <c r="CE226" s="21">
        <f t="shared" si="304"/>
        <v>6.0137333333333341E-2</v>
      </c>
      <c r="CF226" s="21"/>
      <c r="CG226" s="21"/>
      <c r="CH226" s="21">
        <f t="shared" si="324"/>
        <v>0</v>
      </c>
      <c r="CI226" s="25">
        <f t="shared" si="312"/>
        <v>5.1145585000000002</v>
      </c>
      <c r="CJ226" s="54">
        <v>0.33</v>
      </c>
      <c r="CK226" s="21">
        <f t="shared" si="349"/>
        <v>1.4850000000000001</v>
      </c>
      <c r="CL226" s="55">
        <v>1551</v>
      </c>
      <c r="CM226" s="55"/>
      <c r="CN226" s="60"/>
      <c r="CO226" s="55"/>
      <c r="CP226" s="55"/>
      <c r="CQ226" s="55"/>
      <c r="CR226" s="55"/>
      <c r="CS226" s="55"/>
      <c r="CT226" s="55"/>
      <c r="CU226" s="55"/>
      <c r="CV226" s="55"/>
      <c r="CW226" s="55"/>
      <c r="CX226" s="55"/>
      <c r="CY226" s="21">
        <f t="shared" si="343"/>
        <v>0</v>
      </c>
      <c r="CZ226" s="56"/>
      <c r="DA226" s="56"/>
      <c r="DB226" s="56"/>
      <c r="DC226" s="56"/>
      <c r="DD226" s="61">
        <f t="shared" si="313"/>
        <v>0</v>
      </c>
      <c r="DE226" s="21">
        <f t="shared" si="314"/>
        <v>0</v>
      </c>
      <c r="DF226" s="55"/>
      <c r="DG226" s="55"/>
      <c r="DH226" s="55"/>
      <c r="DI226" s="55"/>
      <c r="DJ226" s="104"/>
      <c r="DK226" s="53"/>
      <c r="DM226" s="58">
        <f t="shared" si="273"/>
        <v>923.50970208368301</v>
      </c>
      <c r="DN226" s="58">
        <f t="shared" si="344"/>
        <v>765.125</v>
      </c>
      <c r="DO226" s="21">
        <f t="shared" si="345"/>
        <v>0.82849698089113188</v>
      </c>
      <c r="DP226" s="62">
        <f t="shared" si="332"/>
        <v>1.0209112690503019</v>
      </c>
      <c r="DQ226" s="7" t="s">
        <v>130</v>
      </c>
      <c r="DR226" s="107">
        <f t="shared" si="274"/>
        <v>0</v>
      </c>
    </row>
    <row r="227" spans="1:122" ht="12.75" customHeight="1" x14ac:dyDescent="0.2">
      <c r="A227" s="53" t="s">
        <v>418</v>
      </c>
      <c r="B227" s="54">
        <v>2</v>
      </c>
      <c r="C227" s="92">
        <f t="shared" si="320"/>
        <v>104.80117812526831</v>
      </c>
      <c r="D227" s="92">
        <f t="shared" si="321"/>
        <v>99.319403705079921</v>
      </c>
      <c r="E227" s="92">
        <f>VLOOKUP(A227,[3]TRTOTAL!$A$7:$D$313,3,FALSE)</f>
        <v>104.80117812526831</v>
      </c>
      <c r="F227" s="92">
        <f>VLOOKUP(A227,[3]TRTOTAL!$A$7:$D$313,4,FALSE)</f>
        <v>99.319403705079921</v>
      </c>
      <c r="G227" s="92">
        <f t="shared" si="307"/>
        <v>0</v>
      </c>
      <c r="H227" s="92">
        <f t="shared" si="308"/>
        <v>0</v>
      </c>
      <c r="I227" s="54">
        <v>5.88</v>
      </c>
      <c r="J227" s="56">
        <v>5.64</v>
      </c>
      <c r="K227" s="54">
        <v>2.59</v>
      </c>
      <c r="L227" s="57">
        <v>2</v>
      </c>
      <c r="M227" s="57">
        <v>186</v>
      </c>
      <c r="N227" s="57"/>
      <c r="O227" s="87"/>
      <c r="P227" s="24">
        <f t="shared" si="350"/>
        <v>17.621716666666668</v>
      </c>
      <c r="Q227" s="24">
        <f t="shared" si="346"/>
        <v>8.6300000000000008</v>
      </c>
      <c r="R227" s="24">
        <f t="shared" si="334"/>
        <v>4.5360500000000004</v>
      </c>
      <c r="S227" s="87">
        <v>9</v>
      </c>
      <c r="T227" s="21">
        <f t="shared" si="335"/>
        <v>5.7434000000000003</v>
      </c>
      <c r="U227" s="21"/>
      <c r="V227" s="24">
        <f t="shared" si="336"/>
        <v>2.29</v>
      </c>
      <c r="W227" s="24">
        <f t="shared" si="337"/>
        <v>2.4415</v>
      </c>
      <c r="X227" s="24">
        <f t="shared" si="338"/>
        <v>2.9562064270619648</v>
      </c>
      <c r="Y227" s="25">
        <f t="shared" si="315"/>
        <v>1</v>
      </c>
      <c r="Z227" s="24">
        <f t="shared" si="310"/>
        <v>16.343438903485563</v>
      </c>
      <c r="AA227" s="21">
        <f t="shared" si="339"/>
        <v>1.7942526007673747</v>
      </c>
      <c r="AB227" s="24">
        <f t="shared" si="322"/>
        <v>3.8920230603435586</v>
      </c>
      <c r="AC227" s="24">
        <f t="shared" si="331"/>
        <v>23.479498965984458</v>
      </c>
      <c r="AD227" s="58">
        <f t="shared" si="340"/>
        <v>336</v>
      </c>
      <c r="AE227" s="58">
        <f t="shared" si="341"/>
        <v>342</v>
      </c>
      <c r="AF227" s="21">
        <f t="shared" si="316"/>
        <v>3.75</v>
      </c>
      <c r="AG227" s="77">
        <f t="shared" si="317"/>
        <v>0</v>
      </c>
      <c r="AH227" s="114">
        <f t="shared" si="311"/>
        <v>1</v>
      </c>
      <c r="AI227" s="59">
        <f t="shared" si="318"/>
        <v>102.92797870178858</v>
      </c>
      <c r="AJ227" s="59">
        <f t="shared" si="319"/>
        <v>97.544184637043031</v>
      </c>
      <c r="AK227" s="55">
        <v>8.6300000000000008</v>
      </c>
      <c r="AL227" s="55">
        <v>2.29</v>
      </c>
      <c r="AM227" s="21">
        <f t="shared" si="342"/>
        <v>9.8813500000000012</v>
      </c>
      <c r="AN227" s="54">
        <v>8.6300000000000008</v>
      </c>
      <c r="AO227" s="55">
        <v>0.185</v>
      </c>
      <c r="AP227" s="21">
        <f t="shared" si="347"/>
        <v>1.0643666666666667</v>
      </c>
      <c r="AQ227" s="55"/>
      <c r="AR227" s="55"/>
      <c r="AS227" s="21">
        <f t="shared" si="293"/>
        <v>0</v>
      </c>
      <c r="AT227" s="54">
        <v>8.59</v>
      </c>
      <c r="AU227" s="54">
        <v>0.96499999999999997</v>
      </c>
      <c r="AV227" s="21">
        <f t="shared" si="294"/>
        <v>4.1446749999999994</v>
      </c>
      <c r="AW227" s="54">
        <v>2.4950000000000001</v>
      </c>
      <c r="AX227" s="54">
        <v>0.26</v>
      </c>
      <c r="AY227" s="21">
        <f t="shared" si="295"/>
        <v>0.32435000000000003</v>
      </c>
      <c r="AZ227" s="54">
        <v>6.36</v>
      </c>
      <c r="BA227" s="54">
        <v>0.16</v>
      </c>
      <c r="BB227" s="21">
        <f t="shared" si="325"/>
        <v>0.6784</v>
      </c>
      <c r="BC227" s="54"/>
      <c r="BD227" s="54"/>
      <c r="BE227" s="21">
        <f t="shared" si="326"/>
        <v>0</v>
      </c>
      <c r="BF227" s="55">
        <v>1.67</v>
      </c>
      <c r="BG227" s="55">
        <v>0.16500000000000001</v>
      </c>
      <c r="BH227" s="21">
        <f t="shared" si="327"/>
        <v>0.13777500000000001</v>
      </c>
      <c r="BI227" s="55"/>
      <c r="BJ227" s="55"/>
      <c r="BK227" s="21">
        <f t="shared" si="328"/>
        <v>0</v>
      </c>
      <c r="BL227" s="55">
        <v>0.91</v>
      </c>
      <c r="BM227" s="55">
        <v>0.06</v>
      </c>
      <c r="BN227" s="21">
        <f t="shared" si="329"/>
        <v>2.7300000000000001E-2</v>
      </c>
      <c r="BO227" s="55"/>
      <c r="BP227" s="55"/>
      <c r="BQ227" s="21">
        <f t="shared" si="330"/>
        <v>0</v>
      </c>
      <c r="BR227" s="55"/>
      <c r="BS227" s="21">
        <f t="shared" si="348"/>
        <v>16.258216666666669</v>
      </c>
      <c r="BT227" s="56">
        <v>6.11</v>
      </c>
      <c r="BU227" s="56">
        <v>1.59</v>
      </c>
      <c r="BV227" s="21">
        <f t="shared" si="302"/>
        <v>4.8574500000000009</v>
      </c>
      <c r="BW227" s="77">
        <f t="shared" si="323"/>
        <v>6.11</v>
      </c>
      <c r="BX227" s="55">
        <v>-0.05</v>
      </c>
      <c r="BY227" s="21">
        <f t="shared" si="303"/>
        <v>-0.20366666666666669</v>
      </c>
      <c r="BZ227" s="55">
        <v>6.0449999999999999</v>
      </c>
      <c r="CA227" s="55">
        <v>-0.04</v>
      </c>
      <c r="CB227" s="21">
        <f t="shared" si="309"/>
        <v>-0.16120000000000001</v>
      </c>
      <c r="CC227" s="55">
        <v>1.63</v>
      </c>
      <c r="CD227" s="55">
        <v>0.04</v>
      </c>
      <c r="CE227" s="21">
        <f t="shared" si="304"/>
        <v>4.346666666666666E-2</v>
      </c>
      <c r="CF227" s="21"/>
      <c r="CG227" s="21"/>
      <c r="CH227" s="21">
        <f t="shared" si="324"/>
        <v>0</v>
      </c>
      <c r="CI227" s="25">
        <f t="shared" si="312"/>
        <v>4.5360500000000004</v>
      </c>
      <c r="CJ227" s="54">
        <v>0.30299999999999999</v>
      </c>
      <c r="CK227" s="21">
        <f t="shared" si="349"/>
        <v>1.3634999999999999</v>
      </c>
      <c r="CL227" s="55">
        <v>1551</v>
      </c>
      <c r="CM227" s="55"/>
      <c r="CN227" s="60"/>
      <c r="CO227" s="55"/>
      <c r="CP227" s="55"/>
      <c r="CQ227" s="55"/>
      <c r="CR227" s="55"/>
      <c r="CS227" s="55"/>
      <c r="CT227" s="55"/>
      <c r="CU227" s="55"/>
      <c r="CV227" s="55"/>
      <c r="CW227" s="55"/>
      <c r="CX227" s="55"/>
      <c r="CY227" s="21">
        <f t="shared" si="343"/>
        <v>0</v>
      </c>
      <c r="CZ227" s="56"/>
      <c r="DA227" s="56"/>
      <c r="DB227" s="56"/>
      <c r="DC227" s="56"/>
      <c r="DD227" s="61">
        <f t="shared" si="313"/>
        <v>0</v>
      </c>
      <c r="DE227" s="21">
        <f t="shared" si="314"/>
        <v>0</v>
      </c>
      <c r="DF227" s="55"/>
      <c r="DG227" s="55"/>
      <c r="DH227" s="55"/>
      <c r="DI227" s="55"/>
      <c r="DJ227" s="104"/>
      <c r="DK227" s="53"/>
      <c r="DM227" s="58">
        <f t="shared" si="273"/>
        <v>918.22737398705419</v>
      </c>
      <c r="DN227" s="58">
        <f t="shared" si="344"/>
        <v>779.37</v>
      </c>
      <c r="DO227" s="21">
        <f t="shared" si="345"/>
        <v>0.84877669962711011</v>
      </c>
      <c r="DP227" s="62">
        <f t="shared" si="332"/>
        <v>1.0181991276532003</v>
      </c>
      <c r="DQ227" s="7" t="s">
        <v>130</v>
      </c>
      <c r="DR227" s="107">
        <f t="shared" si="274"/>
        <v>0</v>
      </c>
    </row>
    <row r="228" spans="1:122" ht="12.75" customHeight="1" x14ac:dyDescent="0.2">
      <c r="A228" s="53" t="s">
        <v>419</v>
      </c>
      <c r="B228" s="54">
        <v>3</v>
      </c>
      <c r="C228" s="92">
        <f t="shared" si="320"/>
        <v>94.906410798990848</v>
      </c>
      <c r="D228" s="92">
        <f t="shared" si="321"/>
        <v>91.539560673212506</v>
      </c>
      <c r="E228" s="92">
        <f>VLOOKUP(A228,[3]TRTOTAL!$A$7:$D$313,3,FALSE)</f>
        <v>94.906410798990848</v>
      </c>
      <c r="F228" s="92">
        <f>VLOOKUP(A228,[3]TRTOTAL!$A$7:$D$313,4,FALSE)</f>
        <v>91.539560673212506</v>
      </c>
      <c r="G228" s="92">
        <f t="shared" si="307"/>
        <v>0</v>
      </c>
      <c r="H228" s="92">
        <f t="shared" si="308"/>
        <v>0</v>
      </c>
      <c r="I228" s="54">
        <v>8.3800000000000008</v>
      </c>
      <c r="J228" s="56">
        <v>8.0500000000000007</v>
      </c>
      <c r="K228" s="54">
        <v>3.5</v>
      </c>
      <c r="L228" s="57">
        <v>2</v>
      </c>
      <c r="M228" s="57">
        <v>370</v>
      </c>
      <c r="N228" s="57"/>
      <c r="O228" s="87"/>
      <c r="P228" s="24">
        <f t="shared" si="350"/>
        <v>23.53</v>
      </c>
      <c r="Q228" s="24">
        <f t="shared" si="346"/>
        <v>10.29</v>
      </c>
      <c r="R228" s="24">
        <f t="shared" si="334"/>
        <v>11.54</v>
      </c>
      <c r="S228" s="87">
        <v>10.7</v>
      </c>
      <c r="T228" s="21">
        <f t="shared" si="335"/>
        <v>8.27</v>
      </c>
      <c r="U228"/>
      <c r="V228" s="24">
        <f t="shared" si="336"/>
        <v>3.0869999999999997</v>
      </c>
      <c r="W228" s="24">
        <f t="shared" si="337"/>
        <v>3.2469999999999999</v>
      </c>
      <c r="X228" s="24">
        <f t="shared" si="338"/>
        <v>2.2318106718869348</v>
      </c>
      <c r="Y228" s="25">
        <f t="shared" si="315"/>
        <v>1</v>
      </c>
      <c r="Z228" s="24">
        <f t="shared" si="310"/>
        <v>20.058291333042103</v>
      </c>
      <c r="AA228" s="21">
        <f t="shared" si="339"/>
        <v>0</v>
      </c>
      <c r="AB228" s="24">
        <f t="shared" si="322"/>
        <v>10.385999999999999</v>
      </c>
      <c r="AC228" s="24">
        <f t="shared" si="331"/>
        <v>33.5941113330421</v>
      </c>
      <c r="AD228" s="58">
        <f t="shared" si="340"/>
        <v>595</v>
      </c>
      <c r="AE228" s="58">
        <f t="shared" si="341"/>
        <v>601</v>
      </c>
      <c r="AF228" s="21">
        <f t="shared" si="316"/>
        <v>4.5</v>
      </c>
      <c r="AG228" s="77">
        <f t="shared" si="317"/>
        <v>0</v>
      </c>
      <c r="AH228" s="114">
        <f t="shared" si="311"/>
        <v>1</v>
      </c>
      <c r="AI228" s="59">
        <f t="shared" si="318"/>
        <v>94.597369872314971</v>
      </c>
      <c r="AJ228" s="59">
        <f t="shared" si="319"/>
        <v>91.241483120602609</v>
      </c>
      <c r="AK228" s="55"/>
      <c r="AL228" s="55"/>
      <c r="AM228" s="21">
        <f t="shared" si="342"/>
        <v>0</v>
      </c>
      <c r="AN228" s="54">
        <v>10.29</v>
      </c>
      <c r="AO228" s="55"/>
      <c r="AP228" s="21">
        <f t="shared" si="347"/>
        <v>0</v>
      </c>
      <c r="AQ228" s="55"/>
      <c r="AR228" s="55"/>
      <c r="AS228" s="21">
        <f t="shared" si="293"/>
        <v>0</v>
      </c>
      <c r="AT228" s="54"/>
      <c r="AU228" s="54"/>
      <c r="AV228" s="21">
        <f t="shared" si="294"/>
        <v>0</v>
      </c>
      <c r="AW228" s="54"/>
      <c r="AX228" s="54"/>
      <c r="AY228" s="21">
        <f t="shared" si="295"/>
        <v>0</v>
      </c>
      <c r="AZ228" s="54"/>
      <c r="BA228" s="54"/>
      <c r="BB228" s="21">
        <f t="shared" si="325"/>
        <v>0</v>
      </c>
      <c r="BC228" s="54"/>
      <c r="BD228" s="54"/>
      <c r="BE228" s="21">
        <f t="shared" si="326"/>
        <v>0</v>
      </c>
      <c r="BF228" s="55"/>
      <c r="BG228" s="55"/>
      <c r="BH228" s="21">
        <f t="shared" si="327"/>
        <v>0</v>
      </c>
      <c r="BI228" s="55"/>
      <c r="BJ228" s="55"/>
      <c r="BK228" s="21">
        <f t="shared" si="328"/>
        <v>0</v>
      </c>
      <c r="BL228" s="55"/>
      <c r="BM228" s="55"/>
      <c r="BN228" s="21">
        <f t="shared" si="329"/>
        <v>0</v>
      </c>
      <c r="BO228" s="55"/>
      <c r="BP228" s="55"/>
      <c r="BQ228" s="21">
        <f t="shared" si="330"/>
        <v>0</v>
      </c>
      <c r="BR228" s="55"/>
      <c r="BS228" s="21">
        <f t="shared" si="348"/>
        <v>0</v>
      </c>
      <c r="BT228" s="56">
        <v>0</v>
      </c>
      <c r="BU228" s="56"/>
      <c r="BV228" s="21">
        <f t="shared" si="302"/>
        <v>0</v>
      </c>
      <c r="BW228" s="77">
        <f t="shared" si="323"/>
        <v>0</v>
      </c>
      <c r="BX228" s="55"/>
      <c r="BY228" s="21">
        <f t="shared" si="303"/>
        <v>0</v>
      </c>
      <c r="BZ228" s="55"/>
      <c r="CA228" s="55"/>
      <c r="CB228" s="21">
        <f t="shared" si="309"/>
        <v>0</v>
      </c>
      <c r="CC228" s="54"/>
      <c r="CD228" s="54"/>
      <c r="CE228" s="21">
        <f t="shared" si="304"/>
        <v>0</v>
      </c>
      <c r="CF228" s="21"/>
      <c r="CG228" s="21"/>
      <c r="CH228" s="21">
        <f t="shared" si="324"/>
        <v>0</v>
      </c>
      <c r="CI228" s="25">
        <f t="shared" si="312"/>
        <v>11.54</v>
      </c>
      <c r="CJ228" s="54"/>
      <c r="CK228" s="21">
        <f t="shared" si="349"/>
        <v>0</v>
      </c>
      <c r="CL228" s="55"/>
      <c r="CM228" s="55"/>
      <c r="CN228" s="60"/>
      <c r="CO228" s="55"/>
      <c r="CP228" s="55"/>
      <c r="CQ228" s="55"/>
      <c r="CR228" s="55"/>
      <c r="CS228" s="55"/>
      <c r="CT228" s="55"/>
      <c r="CU228" s="55"/>
      <c r="CV228" s="55"/>
      <c r="CW228" s="55"/>
      <c r="CX228" s="55"/>
      <c r="CY228" s="21">
        <f t="shared" si="343"/>
        <v>0</v>
      </c>
      <c r="CZ228" s="56"/>
      <c r="DA228" s="56"/>
      <c r="DB228" s="56"/>
      <c r="DC228" s="56"/>
      <c r="DD228" s="61">
        <f t="shared" si="313"/>
        <v>0</v>
      </c>
      <c r="DE228" s="21">
        <f t="shared" si="314"/>
        <v>30</v>
      </c>
      <c r="DF228" s="55">
        <v>23.53</v>
      </c>
      <c r="DG228" s="55">
        <v>11.54</v>
      </c>
      <c r="DH228" s="55">
        <v>8.27</v>
      </c>
      <c r="DI228" s="55">
        <v>30</v>
      </c>
      <c r="DJ228" s="104"/>
      <c r="DK228" s="53"/>
      <c r="DM228" s="58">
        <f t="shared" si="273"/>
        <v>1632.7001308262397</v>
      </c>
      <c r="DN228" s="58">
        <f t="shared" si="344"/>
        <v>1585</v>
      </c>
      <c r="DO228" s="21">
        <f t="shared" si="345"/>
        <v>0.97078451215527206</v>
      </c>
      <c r="DP228" s="62">
        <f t="shared" si="332"/>
        <v>1.0032669082353243</v>
      </c>
      <c r="DQ228" s="7">
        <v>0</v>
      </c>
      <c r="DR228" s="107">
        <f t="shared" si="274"/>
        <v>0</v>
      </c>
    </row>
    <row r="229" spans="1:122" ht="12.75" customHeight="1" x14ac:dyDescent="0.2">
      <c r="A229" s="53" t="s">
        <v>420</v>
      </c>
      <c r="B229" s="57">
        <v>3</v>
      </c>
      <c r="C229" s="92">
        <f t="shared" si="320"/>
        <v>89.48860983443079</v>
      </c>
      <c r="D229" s="92">
        <f t="shared" si="321"/>
        <v>86.053861691612042</v>
      </c>
      <c r="E229" s="92">
        <f>VLOOKUP(A229,[3]TRTOTAL!$A$7:$D$313,3,FALSE)</f>
        <v>89.48860983443079</v>
      </c>
      <c r="F229" s="92">
        <f>VLOOKUP(A229,[3]TRTOTAL!$A$7:$D$313,4,FALSE)</f>
        <v>86.053861691612042</v>
      </c>
      <c r="G229" s="92">
        <f t="shared" si="307"/>
        <v>0</v>
      </c>
      <c r="H229" s="92">
        <f t="shared" si="308"/>
        <v>0</v>
      </c>
      <c r="I229" s="54">
        <v>8.3800000000000008</v>
      </c>
      <c r="J229" s="56">
        <v>8.0500000000000007</v>
      </c>
      <c r="K229" s="54">
        <v>3.5</v>
      </c>
      <c r="L229" s="57">
        <v>2</v>
      </c>
      <c r="M229" s="57">
        <v>379</v>
      </c>
      <c r="N229" s="57"/>
      <c r="O229" s="87"/>
      <c r="P229" s="21">
        <f t="shared" si="350"/>
        <v>32.151316666666666</v>
      </c>
      <c r="Q229" s="24">
        <f t="shared" si="346"/>
        <v>12.07</v>
      </c>
      <c r="R229" s="21">
        <f t="shared" si="334"/>
        <v>10.377133333333333</v>
      </c>
      <c r="S229" s="87">
        <v>12.5</v>
      </c>
      <c r="T229" s="21">
        <f t="shared" si="335"/>
        <v>8.9111999999999991</v>
      </c>
      <c r="U229"/>
      <c r="V229" s="24">
        <f t="shared" si="336"/>
        <v>3.21</v>
      </c>
      <c r="W229" s="24">
        <f t="shared" si="337"/>
        <v>3.39</v>
      </c>
      <c r="X229" s="24">
        <f t="shared" si="338"/>
        <v>2.7976885570667385</v>
      </c>
      <c r="Y229" s="25">
        <f t="shared" si="315"/>
        <v>1</v>
      </c>
      <c r="Z229" s="24">
        <f t="shared" si="310"/>
        <v>29.330088647049422</v>
      </c>
      <c r="AA229" s="21">
        <f t="shared" si="339"/>
        <v>2.4217912514488869</v>
      </c>
      <c r="AB229" s="24">
        <f t="shared" si="322"/>
        <v>9.7420623586184014</v>
      </c>
      <c r="AC229" s="24">
        <f t="shared" si="331"/>
        <v>43.435896786562999</v>
      </c>
      <c r="AD229" s="58">
        <f t="shared" si="340"/>
        <v>604</v>
      </c>
      <c r="AE229" s="58">
        <f t="shared" si="341"/>
        <v>610</v>
      </c>
      <c r="AF229" s="21">
        <f t="shared" si="316"/>
        <v>5.1102437499999986</v>
      </c>
      <c r="AG229" s="77">
        <f t="shared" si="317"/>
        <v>5.6302138875155698</v>
      </c>
      <c r="AH229" s="114">
        <f t="shared" si="311"/>
        <v>1</v>
      </c>
      <c r="AI229" s="59">
        <f t="shared" si="318"/>
        <v>86.030703107906447</v>
      </c>
      <c r="AJ229" s="59">
        <f t="shared" si="319"/>
        <v>82.728676198873146</v>
      </c>
      <c r="AK229" s="56">
        <v>12.07</v>
      </c>
      <c r="AL229" s="55">
        <v>3.21</v>
      </c>
      <c r="AM229" s="21">
        <f t="shared" si="342"/>
        <v>19.372350000000001</v>
      </c>
      <c r="AN229" s="56">
        <v>12.07</v>
      </c>
      <c r="AO229" s="56">
        <v>0.16</v>
      </c>
      <c r="AP229" s="21">
        <f t="shared" si="347"/>
        <v>1.2874666666666668</v>
      </c>
      <c r="AQ229" s="56">
        <v>3.28</v>
      </c>
      <c r="AR229" s="56">
        <v>0</v>
      </c>
      <c r="AS229" s="21">
        <f t="shared" si="293"/>
        <v>0</v>
      </c>
      <c r="AT229" s="56">
        <v>11.85</v>
      </c>
      <c r="AU229" s="56">
        <v>1.02</v>
      </c>
      <c r="AV229" s="21">
        <f t="shared" si="294"/>
        <v>6.0434999999999999</v>
      </c>
      <c r="AW229" s="56"/>
      <c r="AX229" s="56"/>
      <c r="AY229" s="21">
        <f t="shared" si="295"/>
        <v>0</v>
      </c>
      <c r="AZ229" s="56">
        <v>11.7</v>
      </c>
      <c r="BA229" s="56">
        <v>0.41</v>
      </c>
      <c r="BB229" s="21">
        <f t="shared" si="325"/>
        <v>3.198</v>
      </c>
      <c r="BC229" s="56"/>
      <c r="BD229" s="56"/>
      <c r="BE229" s="21">
        <f t="shared" si="326"/>
        <v>0</v>
      </c>
      <c r="BF229" s="56"/>
      <c r="BG229" s="56"/>
      <c r="BH229" s="21">
        <f t="shared" si="327"/>
        <v>0</v>
      </c>
      <c r="BI229" s="56"/>
      <c r="BJ229" s="56"/>
      <c r="BK229" s="21">
        <f t="shared" si="328"/>
        <v>0</v>
      </c>
      <c r="BL229" s="56"/>
      <c r="BM229" s="56"/>
      <c r="BN229" s="21">
        <f t="shared" si="329"/>
        <v>0</v>
      </c>
      <c r="BO229" s="56"/>
      <c r="BP229" s="56"/>
      <c r="BQ229" s="21">
        <f t="shared" si="330"/>
        <v>0</v>
      </c>
      <c r="BR229" s="56"/>
      <c r="BS229" s="21">
        <f t="shared" si="348"/>
        <v>29.901316666666666</v>
      </c>
      <c r="BT229" s="56">
        <v>9.48</v>
      </c>
      <c r="BU229" s="56">
        <v>2.0699999999999998</v>
      </c>
      <c r="BV229" s="21">
        <f t="shared" si="302"/>
        <v>9.8117999999999999</v>
      </c>
      <c r="BW229" s="77">
        <f t="shared" si="323"/>
        <v>9.48</v>
      </c>
      <c r="BX229" s="55"/>
      <c r="BY229" s="21">
        <f t="shared" si="303"/>
        <v>0</v>
      </c>
      <c r="BZ229" s="56">
        <v>2.27</v>
      </c>
      <c r="CA229" s="56"/>
      <c r="CB229" s="21">
        <f t="shared" si="309"/>
        <v>0</v>
      </c>
      <c r="CC229" s="56">
        <v>8.48</v>
      </c>
      <c r="CD229" s="56">
        <v>0.1</v>
      </c>
      <c r="CE229" s="21">
        <f t="shared" si="304"/>
        <v>0.56533333333333335</v>
      </c>
      <c r="CF229" s="21"/>
      <c r="CG229" s="21"/>
      <c r="CH229" s="21">
        <f t="shared" si="324"/>
        <v>0</v>
      </c>
      <c r="CI229" s="25">
        <f t="shared" si="312"/>
        <v>10.377133333333333</v>
      </c>
      <c r="CJ229" s="56">
        <v>0.36</v>
      </c>
      <c r="CK229" s="21">
        <f t="shared" si="349"/>
        <v>2.25</v>
      </c>
      <c r="CL229" s="57" t="s">
        <v>421</v>
      </c>
      <c r="CM229" s="57" t="s">
        <v>421</v>
      </c>
      <c r="CN229" s="57" t="s">
        <v>421</v>
      </c>
      <c r="CO229" s="57" t="s">
        <v>200</v>
      </c>
      <c r="CP229" s="57" t="s">
        <v>421</v>
      </c>
      <c r="CQ229" s="57" t="s">
        <v>138</v>
      </c>
      <c r="CR229" s="57"/>
      <c r="CS229" s="57"/>
      <c r="CT229" s="57"/>
      <c r="CU229" s="57"/>
      <c r="CV229" s="57"/>
      <c r="CW229" s="57"/>
      <c r="CX229" s="57"/>
      <c r="CY229" s="58">
        <f t="shared" si="343"/>
        <v>0</v>
      </c>
      <c r="CZ229" s="56">
        <v>5.1100000000000003</v>
      </c>
      <c r="DA229" s="56">
        <v>11.01</v>
      </c>
      <c r="DB229" s="56">
        <v>9.0399999999999991</v>
      </c>
      <c r="DC229" s="56">
        <v>3.82</v>
      </c>
      <c r="DD229" s="61">
        <f t="shared" si="313"/>
        <v>0.74755381604696669</v>
      </c>
      <c r="DE229" s="21">
        <f t="shared" si="314"/>
        <v>34.06829166666666</v>
      </c>
      <c r="DF229" s="55"/>
      <c r="DG229" s="56"/>
      <c r="DH229" s="56"/>
      <c r="DI229" s="55"/>
      <c r="DJ229" s="104"/>
      <c r="DK229" s="56"/>
      <c r="DM229" s="58">
        <f t="shared" si="273"/>
        <v>2290.3821921609965</v>
      </c>
      <c r="DN229" s="58">
        <f t="shared" si="344"/>
        <v>1600.75</v>
      </c>
      <c r="DO229" s="21">
        <f t="shared" si="345"/>
        <v>0.69890082339911919</v>
      </c>
      <c r="DP229" s="62">
        <f t="shared" si="332"/>
        <v>1.0401938680215965</v>
      </c>
      <c r="DQ229" s="7">
        <v>0</v>
      </c>
      <c r="DR229" s="107">
        <f t="shared" si="274"/>
        <v>0</v>
      </c>
    </row>
    <row r="230" spans="1:122" ht="12.75" customHeight="1" x14ac:dyDescent="0.2">
      <c r="A230" s="53" t="s">
        <v>585</v>
      </c>
      <c r="B230" s="57">
        <v>2</v>
      </c>
      <c r="C230" s="92">
        <f>AI230*PowerFactor</f>
        <v>142.22861525074066</v>
      </c>
      <c r="D230" s="92">
        <f>AJ230*PowerFactor*IF(crew=1,1.01,1)</f>
        <v>137.22696505302838</v>
      </c>
      <c r="E230" s="92">
        <f>VLOOKUP(A230,[3]TRTOTAL!$A$7:$D$313,3,FALSE)</f>
        <v>142.22861525074066</v>
      </c>
      <c r="F230" s="92">
        <f>VLOOKUP(A230,[3]TRTOTAL!$A$7:$D$313,4,FALSE)</f>
        <v>137.22696505302838</v>
      </c>
      <c r="G230" s="92">
        <f t="shared" si="307"/>
        <v>0</v>
      </c>
      <c r="H230" s="92">
        <f t="shared" si="308"/>
        <v>0</v>
      </c>
      <c r="I230" s="54">
        <v>4.2670000000000003</v>
      </c>
      <c r="J230" s="56">
        <v>4.2670000000000003</v>
      </c>
      <c r="K230" s="54">
        <v>2.14</v>
      </c>
      <c r="L230" s="57">
        <v>1</v>
      </c>
      <c r="M230" s="57"/>
      <c r="N230" s="57">
        <v>125</v>
      </c>
      <c r="O230" s="87" t="s">
        <v>133</v>
      </c>
      <c r="P230" s="21">
        <f t="shared" si="350"/>
        <v>9.1199999999999992</v>
      </c>
      <c r="Q230" s="24">
        <f t="shared" si="346"/>
        <v>5.83</v>
      </c>
      <c r="R230" s="21">
        <f>CI230</f>
        <v>2.0840000000000001</v>
      </c>
      <c r="S230" s="87">
        <v>6.23</v>
      </c>
      <c r="T230" s="21">
        <f t="shared" si="335"/>
        <v>3.4870000000000001</v>
      </c>
      <c r="U230"/>
      <c r="V230" s="24">
        <f>IF(e_sp,e_sp,(IF(mfoot,MAX(CU230:CX230),IF(mainh1,mainh1,vlm*0.3))))</f>
        <v>1.7489999999999999</v>
      </c>
      <c r="W230" s="24">
        <f>IF(circMast,circMast/2,0.16)+V230</f>
        <v>1.9089999999999998</v>
      </c>
      <c r="X230" s="24">
        <f t="shared" si="338"/>
        <v>2.502551257710369</v>
      </c>
      <c r="Y230" s="25">
        <f t="shared" si="315"/>
        <v>1</v>
      </c>
      <c r="Z230" s="24">
        <f>0.67*X230^0.3*msam*Y230</f>
        <v>8.0460835045668055</v>
      </c>
      <c r="AA230" s="21">
        <f t="shared" si="339"/>
        <v>0</v>
      </c>
      <c r="AB230" s="24">
        <f>IF(AA230,0.72*AA230^0.3*msag,IF(msag,0.9*msag,0))</f>
        <v>1.8756000000000002</v>
      </c>
      <c r="AC230" s="24">
        <f t="shared" si="331"/>
        <v>11.054405504566805</v>
      </c>
      <c r="AD230" s="58">
        <f t="shared" si="340"/>
        <v>259</v>
      </c>
      <c r="AE230" s="58">
        <f t="shared" si="341"/>
        <v>265</v>
      </c>
      <c r="AF230" s="21">
        <f t="shared" si="316"/>
        <v>1.3765499999999999</v>
      </c>
      <c r="AG230" s="77">
        <f t="shared" si="317"/>
        <v>0</v>
      </c>
      <c r="AH230" s="114">
        <f t="shared" si="311"/>
        <v>1.04</v>
      </c>
      <c r="AI230" s="59">
        <f t="shared" si="318"/>
        <v>142.22861525074066</v>
      </c>
      <c r="AJ230" s="59">
        <f t="shared" si="319"/>
        <v>137.22696505302838</v>
      </c>
      <c r="AK230" s="56"/>
      <c r="AL230" s="55"/>
      <c r="AM230" s="21">
        <f>AK230*AL230*0.5</f>
        <v>0</v>
      </c>
      <c r="AN230" s="56">
        <v>5.83</v>
      </c>
      <c r="AO230" s="56"/>
      <c r="AP230" s="21">
        <f>AN230*AO230*2/3</f>
        <v>0</v>
      </c>
      <c r="AQ230" s="56"/>
      <c r="AR230" s="56">
        <v>0</v>
      </c>
      <c r="AS230" s="21">
        <f>AQ230*AR230*2/3</f>
        <v>0</v>
      </c>
      <c r="AT230" s="56"/>
      <c r="AU230" s="56"/>
      <c r="AV230" s="21">
        <f>AT230*AU230*0.5</f>
        <v>0</v>
      </c>
      <c r="AW230" s="56"/>
      <c r="AX230" s="56"/>
      <c r="AY230" s="21">
        <f>AW230*AX230*0.5</f>
        <v>0</v>
      </c>
      <c r="AZ230" s="56"/>
      <c r="BA230" s="56"/>
      <c r="BB230" s="21">
        <f>AZ230*BA230*2/3</f>
        <v>0</v>
      </c>
      <c r="BC230" s="56"/>
      <c r="BD230" s="56"/>
      <c r="BE230" s="21">
        <f>BC230*BD230*2/3</f>
        <v>0</v>
      </c>
      <c r="BF230" s="56"/>
      <c r="BG230" s="56"/>
      <c r="BH230" s="21">
        <f>BF230*BG230*0.5</f>
        <v>0</v>
      </c>
      <c r="BI230" s="56"/>
      <c r="BJ230" s="56"/>
      <c r="BK230" s="21">
        <f>BI230*BJ230*2/3</f>
        <v>0</v>
      </c>
      <c r="BL230" s="56"/>
      <c r="BM230" s="56"/>
      <c r="BN230" s="21">
        <f>BL230*BM230*0.5</f>
        <v>0</v>
      </c>
      <c r="BO230" s="56"/>
      <c r="BP230" s="56"/>
      <c r="BQ230" s="21">
        <f>BO230*BP230*0.5</f>
        <v>0</v>
      </c>
      <c r="BR230" s="56"/>
      <c r="BS230" s="21">
        <f>AM230+AP230+AS230+AV230+AY230+BB230+BE230+BH230+BK230+BN230+BQ230</f>
        <v>0</v>
      </c>
      <c r="BT230" s="56"/>
      <c r="BU230" s="56"/>
      <c r="BV230" s="21">
        <f>BT230*BU230*0.5</f>
        <v>0</v>
      </c>
      <c r="BW230" s="77">
        <f>BT230-CF230</f>
        <v>0</v>
      </c>
      <c r="BX230" s="55"/>
      <c r="BY230" s="21">
        <f>BW230*BX230*2/3</f>
        <v>0</v>
      </c>
      <c r="BZ230" s="56"/>
      <c r="CA230" s="56"/>
      <c r="CB230" s="21">
        <f>BZ230*CA230*2/3</f>
        <v>0</v>
      </c>
      <c r="CC230" s="56"/>
      <c r="CD230" s="56"/>
      <c r="CE230" s="21">
        <f>CC230*CD230*2/3</f>
        <v>0</v>
      </c>
      <c r="CF230" s="21"/>
      <c r="CG230" s="21"/>
      <c r="CH230" s="21">
        <f>CF230*CG230*0.5</f>
        <v>0</v>
      </c>
      <c r="CI230" s="25">
        <f>BV230+BY230+CB230+CE230+CH230+DG230</f>
        <v>2.0840000000000001</v>
      </c>
      <c r="CJ230" s="56"/>
      <c r="CK230" s="21">
        <f t="shared" si="349"/>
        <v>0</v>
      </c>
      <c r="CL230" s="57" t="s">
        <v>421</v>
      </c>
      <c r="CM230" s="57" t="s">
        <v>421</v>
      </c>
      <c r="CN230" s="57" t="s">
        <v>421</v>
      </c>
      <c r="CO230" s="57" t="s">
        <v>517</v>
      </c>
      <c r="CP230" s="57" t="s">
        <v>421</v>
      </c>
      <c r="CQ230" s="57" t="s">
        <v>138</v>
      </c>
      <c r="CR230" s="57"/>
      <c r="CS230" s="57"/>
      <c r="CT230" s="57"/>
      <c r="CU230" s="57"/>
      <c r="CV230" s="57"/>
      <c r="CW230" s="57"/>
      <c r="CX230" s="57"/>
      <c r="CY230" s="58">
        <f>(CT230+4*CU230+2*CV230+4*CW230+CX230)*AN230/12</f>
        <v>0</v>
      </c>
      <c r="CZ230" s="56"/>
      <c r="DA230" s="56"/>
      <c r="DB230" s="56"/>
      <c r="DC230" s="56"/>
      <c r="DD230" s="61">
        <f>IF(CZ230,DC230/CZ230,smg_sf_no_details)</f>
        <v>0</v>
      </c>
      <c r="DE230" s="21">
        <f>IF(CZ230,CZ230*(DA230+DB230)/4+(DC230-CZ230/2)*(DA230+DB230)/3,sas_no_details)</f>
        <v>9.1769999999999996</v>
      </c>
      <c r="DF230" s="55">
        <v>9.1199999999999992</v>
      </c>
      <c r="DG230" s="56">
        <v>2.0840000000000001</v>
      </c>
      <c r="DH230" s="56">
        <v>3.4870000000000001</v>
      </c>
      <c r="DI230" s="55">
        <v>9.1769999999999996</v>
      </c>
      <c r="DJ230" s="104"/>
      <c r="DK230" s="57" t="s">
        <v>517</v>
      </c>
      <c r="DM230" s="58">
        <f t="shared" si="273"/>
        <v>348.68535749483516</v>
      </c>
      <c r="DN230" s="58">
        <f t="shared" si="344"/>
        <v>496.93000000000006</v>
      </c>
      <c r="DO230" s="21">
        <f t="shared" si="345"/>
        <v>1.4251530479233294</v>
      </c>
      <c r="DP230" s="62">
        <f>IF((1/DO230)^$DP$5&lt;1,1,(1/DO230)^$DP$5)</f>
        <v>1</v>
      </c>
      <c r="DQ230" s="7">
        <v>0</v>
      </c>
      <c r="DR230" s="107">
        <f t="shared" si="274"/>
        <v>0</v>
      </c>
    </row>
    <row r="231" spans="1:122" ht="12.75" customHeight="1" x14ac:dyDescent="0.2">
      <c r="A231" s="53" t="s">
        <v>578</v>
      </c>
      <c r="B231" s="57">
        <v>1</v>
      </c>
      <c r="C231" s="92">
        <f t="shared" ref="C231:C260" si="351">AI231*PowerFactor</f>
        <v>108.57979866382691</v>
      </c>
      <c r="D231" s="92">
        <f t="shared" ref="D231:D260" si="352">AJ231*PowerFactor*IF(crew=1,1.01,1)</f>
        <v>104.47534794778549</v>
      </c>
      <c r="E231" s="92">
        <f>VLOOKUP(A231,[3]TRTOTAL!$A$7:$D$313,3,FALSE)</f>
        <v>108.57979866382691</v>
      </c>
      <c r="F231" s="92">
        <f>VLOOKUP(A231,[3]TRTOTAL!$A$7:$D$313,4,FALSE)</f>
        <v>104.47534794778549</v>
      </c>
      <c r="G231" s="92">
        <f t="shared" si="307"/>
        <v>0</v>
      </c>
      <c r="H231" s="92">
        <f t="shared" si="308"/>
        <v>0</v>
      </c>
      <c r="I231" s="54">
        <v>4.16</v>
      </c>
      <c r="J231" s="56">
        <v>4.16</v>
      </c>
      <c r="K231" s="54">
        <v>2.38</v>
      </c>
      <c r="L231" s="57">
        <v>1</v>
      </c>
      <c r="M231" s="57">
        <v>85</v>
      </c>
      <c r="N231" s="57"/>
      <c r="O231" s="21" t="s">
        <v>604</v>
      </c>
      <c r="P231" s="21">
        <f t="shared" si="350"/>
        <v>9.3650000000000002</v>
      </c>
      <c r="Q231" s="24">
        <f t="shared" si="346"/>
        <v>6.87</v>
      </c>
      <c r="R231" s="21">
        <f t="shared" ref="R231:R253" si="353">CI231</f>
        <v>2.3138929999999998</v>
      </c>
      <c r="S231" s="87">
        <v>7.48</v>
      </c>
      <c r="T231" s="21">
        <f t="shared" si="335"/>
        <v>4.4800399999999998</v>
      </c>
      <c r="U231"/>
      <c r="V231" s="24">
        <f t="shared" ref="V231:V253" si="354">IF(e_sp,e_sp,(IF(mfoot,MAX(CU231:CX231),IF(mainh1,mainh1,vlm*0.3))))</f>
        <v>1.532</v>
      </c>
      <c r="W231" s="24">
        <f t="shared" si="337"/>
        <v>1.6919999999999999</v>
      </c>
      <c r="X231" s="24">
        <f t="shared" si="338"/>
        <v>3.2711997496213585</v>
      </c>
      <c r="Y231" s="25">
        <f t="shared" si="315"/>
        <v>1</v>
      </c>
      <c r="Z231" s="24">
        <f t="shared" si="310"/>
        <v>8.9535384648795251</v>
      </c>
      <c r="AA231" s="21">
        <f t="shared" si="339"/>
        <v>2.4541709577754891</v>
      </c>
      <c r="AB231" s="24">
        <f t="shared" si="322"/>
        <v>2.1809575491597597</v>
      </c>
      <c r="AC231" s="24">
        <f t="shared" si="331"/>
        <v>12.950971532648516</v>
      </c>
      <c r="AD231" s="58">
        <f t="shared" si="340"/>
        <v>160</v>
      </c>
      <c r="AE231" s="58">
        <f t="shared" si="341"/>
        <v>166</v>
      </c>
      <c r="AF231" s="21">
        <f t="shared" si="316"/>
        <v>2.1</v>
      </c>
      <c r="AG231" s="77">
        <f t="shared" si="317"/>
        <v>0</v>
      </c>
      <c r="AH231" s="114">
        <f t="shared" si="311"/>
        <v>0.95</v>
      </c>
      <c r="AI231" s="59">
        <f t="shared" si="318"/>
        <v>106.89774267631024</v>
      </c>
      <c r="AJ231" s="59">
        <f t="shared" si="319"/>
        <v>101.83849084901667</v>
      </c>
      <c r="AK231" s="56"/>
      <c r="AL231" s="55">
        <v>1.532</v>
      </c>
      <c r="AM231" s="21">
        <f t="shared" si="342"/>
        <v>0</v>
      </c>
      <c r="AN231" s="56">
        <v>6.87</v>
      </c>
      <c r="AO231" s="56"/>
      <c r="AP231" s="21">
        <f t="shared" si="347"/>
        <v>0</v>
      </c>
      <c r="AQ231" s="56"/>
      <c r="AR231" s="56">
        <v>0</v>
      </c>
      <c r="AS231" s="21">
        <f t="shared" si="293"/>
        <v>0</v>
      </c>
      <c r="AT231" s="56"/>
      <c r="AU231" s="56"/>
      <c r="AV231" s="21">
        <f t="shared" si="294"/>
        <v>0</v>
      </c>
      <c r="AW231" s="56"/>
      <c r="AX231" s="56"/>
      <c r="AY231" s="21">
        <f t="shared" si="295"/>
        <v>0</v>
      </c>
      <c r="AZ231" s="56"/>
      <c r="BA231" s="56"/>
      <c r="BB231" s="21">
        <f t="shared" si="325"/>
        <v>0</v>
      </c>
      <c r="BC231" s="56"/>
      <c r="BD231" s="56"/>
      <c r="BE231" s="21">
        <f t="shared" si="326"/>
        <v>0</v>
      </c>
      <c r="BF231" s="56"/>
      <c r="BG231" s="56"/>
      <c r="BH231" s="21">
        <f t="shared" si="327"/>
        <v>0</v>
      </c>
      <c r="BI231" s="56"/>
      <c r="BJ231" s="56"/>
      <c r="BK231" s="21">
        <f t="shared" si="328"/>
        <v>0</v>
      </c>
      <c r="BL231" s="56"/>
      <c r="BM231" s="56"/>
      <c r="BN231" s="21">
        <f t="shared" si="329"/>
        <v>0</v>
      </c>
      <c r="BO231" s="56"/>
      <c r="BP231" s="56"/>
      <c r="BQ231" s="21">
        <f t="shared" si="330"/>
        <v>0</v>
      </c>
      <c r="BR231" s="56"/>
      <c r="BS231" s="21">
        <f t="shared" si="348"/>
        <v>0</v>
      </c>
      <c r="BT231" s="56">
        <v>4.766</v>
      </c>
      <c r="BU231" s="56">
        <v>0.97099999999999997</v>
      </c>
      <c r="BV231" s="21">
        <f t="shared" si="302"/>
        <v>2.3138929999999998</v>
      </c>
      <c r="BW231" s="77">
        <f t="shared" si="323"/>
        <v>4.766</v>
      </c>
      <c r="BX231" s="55"/>
      <c r="BY231" s="21">
        <f t="shared" si="303"/>
        <v>0</v>
      </c>
      <c r="BZ231" s="56">
        <v>4.75</v>
      </c>
      <c r="CA231" s="56"/>
      <c r="CB231" s="21">
        <f t="shared" si="309"/>
        <v>0</v>
      </c>
      <c r="CC231" s="56">
        <v>0.97</v>
      </c>
      <c r="CD231" s="56"/>
      <c r="CE231" s="21">
        <f t="shared" si="304"/>
        <v>0</v>
      </c>
      <c r="CF231" s="21"/>
      <c r="CG231" s="21"/>
      <c r="CH231" s="21">
        <f t="shared" si="324"/>
        <v>0</v>
      </c>
      <c r="CI231" s="25">
        <f t="shared" si="312"/>
        <v>2.3138929999999998</v>
      </c>
      <c r="CJ231" s="56"/>
      <c r="CK231" s="21">
        <f t="shared" si="349"/>
        <v>0</v>
      </c>
      <c r="CL231" s="57">
        <v>1</v>
      </c>
      <c r="CN231" s="60">
        <v>42867</v>
      </c>
      <c r="CO231" s="57" t="s">
        <v>533</v>
      </c>
      <c r="CP231" s="57" t="s">
        <v>421</v>
      </c>
      <c r="CQ231" s="57" t="s">
        <v>138</v>
      </c>
      <c r="CR231" s="57"/>
      <c r="CS231" s="57"/>
      <c r="CT231" s="57"/>
      <c r="CU231" s="57"/>
      <c r="CV231" s="57"/>
      <c r="CW231" s="57"/>
      <c r="CX231" s="57"/>
      <c r="CY231" s="58">
        <f t="shared" si="343"/>
        <v>0</v>
      </c>
      <c r="CZ231" s="56"/>
      <c r="DA231" s="56"/>
      <c r="DB231" s="56"/>
      <c r="DC231" s="56"/>
      <c r="DD231" s="61">
        <f t="shared" si="313"/>
        <v>0</v>
      </c>
      <c r="DE231" s="21">
        <f t="shared" si="314"/>
        <v>0</v>
      </c>
      <c r="DF231" s="55">
        <v>9.3650000000000002</v>
      </c>
      <c r="DG231" s="56"/>
      <c r="DH231" s="56"/>
      <c r="DI231" s="55"/>
      <c r="DJ231" s="104"/>
      <c r="DK231" s="56"/>
      <c r="DM231" s="58">
        <f t="shared" si="273"/>
        <v>408.73408067805252</v>
      </c>
      <c r="DN231" s="58">
        <f t="shared" si="344"/>
        <v>354.65</v>
      </c>
      <c r="DO231" s="21">
        <f t="shared" si="345"/>
        <v>0.86767905287385871</v>
      </c>
      <c r="DP231" s="62">
        <f t="shared" si="332"/>
        <v>1.0157351871555416</v>
      </c>
      <c r="DQ231" s="7" t="s">
        <v>130</v>
      </c>
      <c r="DR231" s="107">
        <f t="shared" si="274"/>
        <v>0</v>
      </c>
    </row>
    <row r="232" spans="1:122" ht="12.75" customHeight="1" x14ac:dyDescent="0.2">
      <c r="A232" s="53" t="s">
        <v>422</v>
      </c>
      <c r="B232" s="54">
        <v>2</v>
      </c>
      <c r="C232" s="92">
        <f t="shared" si="351"/>
        <v>111.21543591010158</v>
      </c>
      <c r="D232" s="92">
        <f t="shared" si="352"/>
        <v>105.72139699770166</v>
      </c>
      <c r="E232" s="92">
        <f>VLOOKUP(A232,[3]TRTOTAL!$A$7:$D$313,3,FALSE)</f>
        <v>111.21543591010158</v>
      </c>
      <c r="F232" s="92">
        <f>VLOOKUP(A232,[3]TRTOTAL!$A$7:$D$313,4,FALSE)</f>
        <v>105.72139699770166</v>
      </c>
      <c r="G232" s="92">
        <f t="shared" si="307"/>
        <v>0</v>
      </c>
      <c r="H232" s="92">
        <f t="shared" si="308"/>
        <v>0</v>
      </c>
      <c r="I232" s="54">
        <v>5.4</v>
      </c>
      <c r="J232" s="56">
        <v>5.2</v>
      </c>
      <c r="K232" s="54">
        <v>2.2999999999999998</v>
      </c>
      <c r="L232" s="57">
        <v>2</v>
      </c>
      <c r="M232" s="57">
        <v>170</v>
      </c>
      <c r="N232" s="57"/>
      <c r="O232" s="87"/>
      <c r="P232" s="24">
        <f t="shared" si="350"/>
        <v>16</v>
      </c>
      <c r="Q232" s="24">
        <f t="shared" si="346"/>
        <v>8</v>
      </c>
      <c r="R232" s="24">
        <f t="shared" si="353"/>
        <v>4</v>
      </c>
      <c r="S232" s="87">
        <v>8.4</v>
      </c>
      <c r="T232" s="21">
        <f t="shared" si="335"/>
        <v>5</v>
      </c>
      <c r="U232" s="21"/>
      <c r="V232" s="24">
        <f t="shared" si="354"/>
        <v>2.4</v>
      </c>
      <c r="W232" s="24">
        <f t="shared" si="337"/>
        <v>2.56</v>
      </c>
      <c r="X232" s="24">
        <f t="shared" si="338"/>
        <v>2.44140625</v>
      </c>
      <c r="Y232" s="25">
        <f t="shared" si="315"/>
        <v>1</v>
      </c>
      <c r="Z232" s="24">
        <f t="shared" si="310"/>
        <v>14.011570004723062</v>
      </c>
      <c r="AA232" s="21">
        <f t="shared" si="339"/>
        <v>0</v>
      </c>
      <c r="AB232" s="24">
        <f t="shared" si="322"/>
        <v>3.6</v>
      </c>
      <c r="AC232" s="24">
        <f t="shared" si="331"/>
        <v>20.293570004723062</v>
      </c>
      <c r="AD232" s="58">
        <f t="shared" si="340"/>
        <v>320</v>
      </c>
      <c r="AE232" s="58">
        <f t="shared" si="341"/>
        <v>326</v>
      </c>
      <c r="AF232" s="21">
        <f t="shared" si="316"/>
        <v>3.15</v>
      </c>
      <c r="AG232" s="77">
        <f t="shared" si="317"/>
        <v>0</v>
      </c>
      <c r="AH232" s="114">
        <f t="shared" si="311"/>
        <v>1</v>
      </c>
      <c r="AI232" s="59">
        <f t="shared" si="318"/>
        <v>109.73765365899983</v>
      </c>
      <c r="AJ232" s="59">
        <f t="shared" si="319"/>
        <v>104.31661714168266</v>
      </c>
      <c r="AK232" s="55"/>
      <c r="AL232" s="55"/>
      <c r="AM232" s="21">
        <f t="shared" si="342"/>
        <v>0</v>
      </c>
      <c r="AN232" s="54">
        <v>8</v>
      </c>
      <c r="AO232" s="55"/>
      <c r="AP232" s="21">
        <f t="shared" si="347"/>
        <v>0</v>
      </c>
      <c r="AQ232" s="55"/>
      <c r="AR232" s="55"/>
      <c r="AS232" s="21">
        <f t="shared" si="293"/>
        <v>0</v>
      </c>
      <c r="AT232" s="54"/>
      <c r="AU232" s="54"/>
      <c r="AV232" s="21">
        <f t="shared" si="294"/>
        <v>0</v>
      </c>
      <c r="AW232" s="54"/>
      <c r="AX232" s="54"/>
      <c r="AY232" s="21">
        <f t="shared" si="295"/>
        <v>0</v>
      </c>
      <c r="AZ232" s="54"/>
      <c r="BA232" s="54"/>
      <c r="BB232" s="21">
        <f t="shared" si="325"/>
        <v>0</v>
      </c>
      <c r="BC232" s="54"/>
      <c r="BD232" s="54"/>
      <c r="BE232" s="21">
        <f t="shared" si="326"/>
        <v>0</v>
      </c>
      <c r="BF232" s="55"/>
      <c r="BG232" s="55"/>
      <c r="BH232" s="21">
        <f t="shared" si="327"/>
        <v>0</v>
      </c>
      <c r="BI232" s="55"/>
      <c r="BJ232" s="55"/>
      <c r="BK232" s="21">
        <f t="shared" si="328"/>
        <v>0</v>
      </c>
      <c r="BL232" s="55"/>
      <c r="BM232" s="55"/>
      <c r="BN232" s="21">
        <f t="shared" si="329"/>
        <v>0</v>
      </c>
      <c r="BO232" s="55"/>
      <c r="BP232" s="55"/>
      <c r="BQ232" s="21">
        <f t="shared" si="330"/>
        <v>0</v>
      </c>
      <c r="BR232" s="55"/>
      <c r="BS232" s="21">
        <f t="shared" si="348"/>
        <v>0</v>
      </c>
      <c r="BT232" s="56">
        <v>0</v>
      </c>
      <c r="BU232" s="56"/>
      <c r="BV232" s="21">
        <f t="shared" si="302"/>
        <v>0</v>
      </c>
      <c r="BW232" s="77">
        <f t="shared" si="323"/>
        <v>0</v>
      </c>
      <c r="BX232" s="55"/>
      <c r="BY232" s="21">
        <f t="shared" si="303"/>
        <v>0</v>
      </c>
      <c r="BZ232" s="55"/>
      <c r="CA232" s="55"/>
      <c r="CB232" s="21">
        <f t="shared" si="309"/>
        <v>0</v>
      </c>
      <c r="CC232" s="54"/>
      <c r="CD232" s="54"/>
      <c r="CE232" s="21">
        <f t="shared" si="304"/>
        <v>0</v>
      </c>
      <c r="CF232" s="21"/>
      <c r="CG232" s="21"/>
      <c r="CH232" s="21">
        <f t="shared" si="324"/>
        <v>0</v>
      </c>
      <c r="CI232" s="25">
        <f t="shared" si="312"/>
        <v>4</v>
      </c>
      <c r="CJ232" s="54"/>
      <c r="CK232" s="21">
        <f t="shared" si="349"/>
        <v>0</v>
      </c>
      <c r="CL232" s="55"/>
      <c r="CM232" s="55"/>
      <c r="CN232" s="60"/>
      <c r="CO232" s="55"/>
      <c r="CP232" s="55"/>
      <c r="CQ232" s="55"/>
      <c r="CR232" s="55"/>
      <c r="CS232" s="55"/>
      <c r="CT232" s="55"/>
      <c r="CU232" s="55"/>
      <c r="CV232" s="55"/>
      <c r="CW232" s="55"/>
      <c r="CX232" s="55"/>
      <c r="CY232" s="21">
        <f t="shared" si="343"/>
        <v>0</v>
      </c>
      <c r="CZ232" s="56"/>
      <c r="DA232" s="56"/>
      <c r="DB232" s="56"/>
      <c r="DC232" s="56"/>
      <c r="DD232" s="61">
        <f t="shared" si="313"/>
        <v>0</v>
      </c>
      <c r="DE232" s="21">
        <f t="shared" si="314"/>
        <v>0</v>
      </c>
      <c r="DF232" s="55">
        <v>16</v>
      </c>
      <c r="DG232" s="55">
        <v>4</v>
      </c>
      <c r="DH232" s="55">
        <v>5</v>
      </c>
      <c r="DI232" s="55"/>
      <c r="DJ232" s="104"/>
      <c r="DK232" s="53"/>
      <c r="DM232" s="58">
        <f t="shared" si="273"/>
        <v>779.78772479999975</v>
      </c>
      <c r="DN232" s="58">
        <f t="shared" si="344"/>
        <v>690.5</v>
      </c>
      <c r="DO232" s="21">
        <f t="shared" si="345"/>
        <v>0.88549739632936608</v>
      </c>
      <c r="DP232" s="62">
        <f t="shared" si="332"/>
        <v>1.0134665012584816</v>
      </c>
      <c r="DQ232" s="7">
        <v>0</v>
      </c>
      <c r="DR232" s="107">
        <f t="shared" si="274"/>
        <v>0</v>
      </c>
    </row>
    <row r="233" spans="1:122" ht="12.75" customHeight="1" x14ac:dyDescent="0.2">
      <c r="A233" s="53" t="s">
        <v>423</v>
      </c>
      <c r="B233" s="54">
        <v>1</v>
      </c>
      <c r="C233" s="92">
        <f t="shared" si="351"/>
        <v>120.4181597659101</v>
      </c>
      <c r="D233" s="92">
        <f t="shared" si="352"/>
        <v>115.98492331000197</v>
      </c>
      <c r="E233" s="92">
        <f>VLOOKUP(A233,[3]TRTOTAL!$A$7:$D$313,3,FALSE)</f>
        <v>120.4181597659101</v>
      </c>
      <c r="F233" s="92">
        <f>VLOOKUP(A233,[3]TRTOTAL!$A$7:$D$313,4,FALSE)</f>
        <v>115.98492331000197</v>
      </c>
      <c r="G233" s="92">
        <f t="shared" si="307"/>
        <v>0</v>
      </c>
      <c r="H233" s="92">
        <f t="shared" si="308"/>
        <v>0</v>
      </c>
      <c r="I233" s="54">
        <v>4.57</v>
      </c>
      <c r="J233" s="56">
        <v>4.4000000000000004</v>
      </c>
      <c r="K233" s="54">
        <v>2</v>
      </c>
      <c r="L233" s="57">
        <v>1</v>
      </c>
      <c r="M233" s="57">
        <v>130</v>
      </c>
      <c r="N233" s="57"/>
      <c r="O233" s="87"/>
      <c r="P233" s="24">
        <f t="shared" si="350"/>
        <v>9.9</v>
      </c>
      <c r="Q233" s="24">
        <f t="shared" si="346"/>
        <v>6.07</v>
      </c>
      <c r="R233" s="24">
        <f t="shared" si="353"/>
        <v>3</v>
      </c>
      <c r="S233" s="87">
        <v>6.5</v>
      </c>
      <c r="T233" s="21">
        <f t="shared" si="335"/>
        <v>4</v>
      </c>
      <c r="U233" s="21"/>
      <c r="V233" s="24">
        <f t="shared" si="354"/>
        <v>1.821</v>
      </c>
      <c r="W233" s="24">
        <f t="shared" si="337"/>
        <v>1.9809999999999999</v>
      </c>
      <c r="X233" s="24">
        <f t="shared" si="338"/>
        <v>2.522703696219589</v>
      </c>
      <c r="Y233" s="25">
        <f t="shared" si="315"/>
        <v>1</v>
      </c>
      <c r="Z233" s="24">
        <f t="shared" si="310"/>
        <v>8.7552765863572208</v>
      </c>
      <c r="AA233" s="21">
        <f t="shared" si="339"/>
        <v>0</v>
      </c>
      <c r="AB233" s="24">
        <f t="shared" si="322"/>
        <v>2.7</v>
      </c>
      <c r="AC233" s="24">
        <f t="shared" si="331"/>
        <v>13.204276586357222</v>
      </c>
      <c r="AD233" s="58">
        <f t="shared" si="340"/>
        <v>205</v>
      </c>
      <c r="AE233" s="58">
        <f t="shared" si="341"/>
        <v>211</v>
      </c>
      <c r="AF233" s="21">
        <f t="shared" si="316"/>
        <v>2.1</v>
      </c>
      <c r="AG233" s="77">
        <f t="shared" si="317"/>
        <v>0</v>
      </c>
      <c r="AH233" s="114">
        <f t="shared" si="311"/>
        <v>1</v>
      </c>
      <c r="AI233" s="59">
        <f t="shared" si="318"/>
        <v>118.57254177108814</v>
      </c>
      <c r="AJ233" s="59">
        <f t="shared" si="319"/>
        <v>113.07648750882484</v>
      </c>
      <c r="AK233" s="55"/>
      <c r="AL233" s="55"/>
      <c r="AM233" s="21">
        <f t="shared" si="342"/>
        <v>0</v>
      </c>
      <c r="AN233" s="54">
        <v>6.07</v>
      </c>
      <c r="AO233" s="55"/>
      <c r="AP233" s="21">
        <f t="shared" si="347"/>
        <v>0</v>
      </c>
      <c r="AQ233" s="55"/>
      <c r="AR233" s="55"/>
      <c r="AS233" s="21">
        <f t="shared" si="293"/>
        <v>0</v>
      </c>
      <c r="AT233" s="54"/>
      <c r="AU233" s="54"/>
      <c r="AV233" s="21">
        <f t="shared" si="294"/>
        <v>0</v>
      </c>
      <c r="AW233" s="54"/>
      <c r="AX233" s="54"/>
      <c r="AY233" s="21">
        <f t="shared" si="295"/>
        <v>0</v>
      </c>
      <c r="AZ233" s="54"/>
      <c r="BA233" s="54"/>
      <c r="BB233" s="21">
        <f t="shared" si="325"/>
        <v>0</v>
      </c>
      <c r="BC233" s="54"/>
      <c r="BD233" s="54"/>
      <c r="BE233" s="21">
        <f t="shared" si="326"/>
        <v>0</v>
      </c>
      <c r="BF233" s="55"/>
      <c r="BG233" s="55"/>
      <c r="BH233" s="21">
        <f t="shared" si="327"/>
        <v>0</v>
      </c>
      <c r="BI233" s="55"/>
      <c r="BJ233" s="55"/>
      <c r="BK233" s="21">
        <f t="shared" si="328"/>
        <v>0</v>
      </c>
      <c r="BL233" s="55"/>
      <c r="BM233" s="55"/>
      <c r="BN233" s="21">
        <f t="shared" si="329"/>
        <v>0</v>
      </c>
      <c r="BO233" s="55"/>
      <c r="BP233" s="55"/>
      <c r="BQ233" s="21">
        <f t="shared" si="330"/>
        <v>0</v>
      </c>
      <c r="BR233" s="55"/>
      <c r="BS233" s="21">
        <f t="shared" si="348"/>
        <v>0</v>
      </c>
      <c r="BT233" s="56">
        <v>0</v>
      </c>
      <c r="BU233" s="56"/>
      <c r="BV233" s="21">
        <f t="shared" si="302"/>
        <v>0</v>
      </c>
      <c r="BW233" s="77">
        <f t="shared" si="323"/>
        <v>0</v>
      </c>
      <c r="BX233" s="55"/>
      <c r="BY233" s="21">
        <f t="shared" si="303"/>
        <v>0</v>
      </c>
      <c r="BZ233" s="55"/>
      <c r="CA233" s="55"/>
      <c r="CB233" s="21">
        <f t="shared" si="309"/>
        <v>0</v>
      </c>
      <c r="CC233" s="54"/>
      <c r="CD233" s="54"/>
      <c r="CE233" s="21">
        <f t="shared" si="304"/>
        <v>0</v>
      </c>
      <c r="CF233" s="21"/>
      <c r="CG233" s="21"/>
      <c r="CH233" s="21">
        <f t="shared" si="324"/>
        <v>0</v>
      </c>
      <c r="CI233" s="25">
        <f t="shared" si="312"/>
        <v>3</v>
      </c>
      <c r="CJ233" s="54"/>
      <c r="CK233" s="21">
        <f t="shared" si="349"/>
        <v>0</v>
      </c>
      <c r="CL233" s="55"/>
      <c r="CM233" s="55"/>
      <c r="CN233" s="60"/>
      <c r="CO233" s="55"/>
      <c r="CP233" s="55"/>
      <c r="CQ233" s="55"/>
      <c r="CR233" s="55"/>
      <c r="CS233" s="55"/>
      <c r="CT233" s="55"/>
      <c r="CU233" s="55"/>
      <c r="CV233" s="55"/>
      <c r="CW233" s="55"/>
      <c r="CX233" s="55"/>
      <c r="CY233" s="21">
        <f t="shared" si="343"/>
        <v>0</v>
      </c>
      <c r="CZ233" s="56"/>
      <c r="DA233" s="56"/>
      <c r="DB233" s="56"/>
      <c r="DC233" s="56"/>
      <c r="DD233" s="61">
        <f t="shared" si="313"/>
        <v>0</v>
      </c>
      <c r="DE233" s="21">
        <f t="shared" si="314"/>
        <v>0</v>
      </c>
      <c r="DF233" s="55">
        <v>9.9</v>
      </c>
      <c r="DG233" s="55">
        <v>3</v>
      </c>
      <c r="DH233" s="55">
        <v>4</v>
      </c>
      <c r="DI233" s="55"/>
      <c r="DJ233" s="104"/>
      <c r="DK233" s="53"/>
      <c r="DM233" s="58">
        <f t="shared" si="273"/>
        <v>408.51580654079993</v>
      </c>
      <c r="DN233" s="58">
        <f t="shared" si="344"/>
        <v>355</v>
      </c>
      <c r="DO233" s="21">
        <f t="shared" si="345"/>
        <v>0.86899942258303997</v>
      </c>
      <c r="DP233" s="62">
        <f t="shared" si="332"/>
        <v>1.0155653068345709</v>
      </c>
      <c r="DQ233" s="7">
        <v>0</v>
      </c>
      <c r="DR233" s="107">
        <f t="shared" si="274"/>
        <v>0</v>
      </c>
    </row>
    <row r="234" spans="1:122" ht="12.75" customHeight="1" x14ac:dyDescent="0.2">
      <c r="A234" s="53" t="s">
        <v>424</v>
      </c>
      <c r="B234" s="54">
        <v>1</v>
      </c>
      <c r="C234" s="92">
        <f t="shared" si="351"/>
        <v>111.984555296937</v>
      </c>
      <c r="D234" s="92">
        <f t="shared" si="352"/>
        <v>109.03143602513738</v>
      </c>
      <c r="E234" s="92">
        <f>VLOOKUP(A234,[3]TRTOTAL!$A$7:$D$313,3,FALSE)</f>
        <v>111.984555296937</v>
      </c>
      <c r="F234" s="92">
        <f>VLOOKUP(A234,[3]TRTOTAL!$A$7:$D$313,4,FALSE)</f>
        <v>109.03143602513738</v>
      </c>
      <c r="G234" s="92">
        <f t="shared" si="307"/>
        <v>0</v>
      </c>
      <c r="H234" s="92">
        <f t="shared" si="308"/>
        <v>0</v>
      </c>
      <c r="I234" s="54">
        <v>4.8</v>
      </c>
      <c r="J234" s="56">
        <v>4.8</v>
      </c>
      <c r="K234" s="54">
        <v>2.4</v>
      </c>
      <c r="L234" s="57">
        <v>1</v>
      </c>
      <c r="M234" s="57"/>
      <c r="N234" s="57">
        <v>99</v>
      </c>
      <c r="O234" s="87"/>
      <c r="P234" s="24">
        <f t="shared" si="350"/>
        <v>12.95</v>
      </c>
      <c r="Q234" s="24">
        <f t="shared" si="346"/>
        <v>7.45</v>
      </c>
      <c r="R234" s="24">
        <f t="shared" si="353"/>
        <v>0</v>
      </c>
      <c r="S234" s="87">
        <v>8</v>
      </c>
      <c r="T234" s="21">
        <f t="shared" si="335"/>
        <v>0</v>
      </c>
      <c r="U234" s="21">
        <v>2.0619999999999998</v>
      </c>
      <c r="V234" s="24">
        <f t="shared" si="354"/>
        <v>2.0619999999999998</v>
      </c>
      <c r="W234" s="24">
        <f t="shared" si="337"/>
        <v>2.222</v>
      </c>
      <c r="X234" s="24">
        <f t="shared" si="338"/>
        <v>2.6228995536817408</v>
      </c>
      <c r="Y234" s="25">
        <f t="shared" si="315"/>
        <v>1</v>
      </c>
      <c r="Z234" s="24">
        <f t="shared" si="310"/>
        <v>11.5872150943359</v>
      </c>
      <c r="AA234" s="21">
        <f t="shared" si="339"/>
        <v>0</v>
      </c>
      <c r="AB234" s="24">
        <f t="shared" si="322"/>
        <v>0</v>
      </c>
      <c r="AC234" s="24">
        <f t="shared" si="331"/>
        <v>13.067152819335899</v>
      </c>
      <c r="AD234" s="58">
        <f t="shared" si="340"/>
        <v>168</v>
      </c>
      <c r="AE234" s="58">
        <f t="shared" si="341"/>
        <v>174</v>
      </c>
      <c r="AF234" s="21">
        <f t="shared" si="316"/>
        <v>1.4799377250000001</v>
      </c>
      <c r="AG234" s="77">
        <f t="shared" si="317"/>
        <v>0</v>
      </c>
      <c r="AH234" s="114">
        <f t="shared" si="311"/>
        <v>1</v>
      </c>
      <c r="AI234" s="59">
        <f t="shared" si="318"/>
        <v>107.78632813654701</v>
      </c>
      <c r="AJ234" s="59">
        <f t="shared" si="319"/>
        <v>103.90487065308669</v>
      </c>
      <c r="AK234" s="55"/>
      <c r="AL234" s="55"/>
      <c r="AM234" s="21">
        <f t="shared" si="342"/>
        <v>0</v>
      </c>
      <c r="AN234" s="54">
        <v>7.45</v>
      </c>
      <c r="AO234" s="55"/>
      <c r="AP234" s="21">
        <f t="shared" si="347"/>
        <v>0</v>
      </c>
      <c r="AQ234" s="55"/>
      <c r="AR234" s="55"/>
      <c r="AS234" s="21">
        <f t="shared" si="293"/>
        <v>0</v>
      </c>
      <c r="AT234" s="54"/>
      <c r="AU234" s="54"/>
      <c r="AV234" s="21">
        <f t="shared" si="294"/>
        <v>0</v>
      </c>
      <c r="AW234" s="54"/>
      <c r="AX234" s="54"/>
      <c r="AY234" s="21">
        <f t="shared" si="295"/>
        <v>0</v>
      </c>
      <c r="AZ234" s="54"/>
      <c r="BA234" s="54"/>
      <c r="BB234" s="21"/>
      <c r="BC234" s="54"/>
      <c r="BD234" s="54"/>
      <c r="BE234" s="21">
        <f t="shared" si="326"/>
        <v>0</v>
      </c>
      <c r="BF234" s="55"/>
      <c r="BG234" s="55"/>
      <c r="BH234" s="21">
        <f t="shared" si="327"/>
        <v>0</v>
      </c>
      <c r="BI234" s="55"/>
      <c r="BJ234" s="55"/>
      <c r="BK234" s="21">
        <f t="shared" si="328"/>
        <v>0</v>
      </c>
      <c r="BL234" s="55"/>
      <c r="BM234" s="55"/>
      <c r="BN234" s="21">
        <f t="shared" si="329"/>
        <v>0</v>
      </c>
      <c r="BO234" s="55"/>
      <c r="BP234" s="55"/>
      <c r="BQ234" s="21">
        <f t="shared" si="330"/>
        <v>0</v>
      </c>
      <c r="BR234" s="55"/>
      <c r="BS234" s="21">
        <f t="shared" si="348"/>
        <v>0</v>
      </c>
      <c r="BT234" s="56">
        <v>0</v>
      </c>
      <c r="BU234" s="56"/>
      <c r="BV234" s="21">
        <f t="shared" si="302"/>
        <v>0</v>
      </c>
      <c r="BW234" s="77">
        <f t="shared" si="323"/>
        <v>0</v>
      </c>
      <c r="BX234" s="55"/>
      <c r="BY234" s="21">
        <f t="shared" si="303"/>
        <v>0</v>
      </c>
      <c r="BZ234" s="55"/>
      <c r="CA234" s="55"/>
      <c r="CB234" s="21">
        <f t="shared" si="309"/>
        <v>0</v>
      </c>
      <c r="CC234" s="55"/>
      <c r="CD234" s="55"/>
      <c r="CE234" s="21">
        <f t="shared" si="304"/>
        <v>0</v>
      </c>
      <c r="CF234" s="21"/>
      <c r="CG234" s="21"/>
      <c r="CH234" s="21">
        <f t="shared" si="324"/>
        <v>0</v>
      </c>
      <c r="CI234" s="25">
        <f t="shared" si="312"/>
        <v>0</v>
      </c>
      <c r="CJ234" s="54"/>
      <c r="CK234" s="21">
        <f t="shared" si="349"/>
        <v>0</v>
      </c>
      <c r="CL234" s="55"/>
      <c r="CM234" s="55"/>
      <c r="CN234" s="60"/>
      <c r="CO234" s="55"/>
      <c r="CP234" s="55"/>
      <c r="CQ234" s="55"/>
      <c r="CR234" s="55"/>
      <c r="CS234" s="55"/>
      <c r="CT234" s="55"/>
      <c r="CU234" s="55"/>
      <c r="CV234" s="55"/>
      <c r="CW234" s="55"/>
      <c r="CX234" s="55"/>
      <c r="CY234" s="21">
        <f t="shared" si="343"/>
        <v>0</v>
      </c>
      <c r="CZ234" s="56">
        <v>2.4380000000000002</v>
      </c>
      <c r="DA234" s="56">
        <v>5.9829999999999997</v>
      </c>
      <c r="DB234" s="56">
        <v>5.3380000000000001</v>
      </c>
      <c r="DC234" s="56">
        <v>2.0049999999999999</v>
      </c>
      <c r="DD234" s="61">
        <f t="shared" si="313"/>
        <v>0.82239540607054951</v>
      </c>
      <c r="DE234" s="21">
        <f t="shared" si="314"/>
        <v>9.8662515000000006</v>
      </c>
      <c r="DF234" s="55">
        <v>12.95</v>
      </c>
      <c r="DG234" s="55"/>
      <c r="DH234" s="55"/>
      <c r="DI234" s="55"/>
      <c r="DJ234" s="104"/>
      <c r="DK234" s="53" t="s">
        <v>514</v>
      </c>
      <c r="DM234" s="58">
        <f t="shared" si="273"/>
        <v>518.86110662399983</v>
      </c>
      <c r="DN234" s="58">
        <f t="shared" si="344"/>
        <v>366.6</v>
      </c>
      <c r="DO234" s="21">
        <f t="shared" si="345"/>
        <v>0.70654746582434047</v>
      </c>
      <c r="DP234" s="62">
        <f t="shared" si="332"/>
        <v>1.0389495331455354</v>
      </c>
      <c r="DQ234" s="7" t="s">
        <v>130</v>
      </c>
      <c r="DR234" s="107">
        <f t="shared" si="274"/>
        <v>0</v>
      </c>
    </row>
    <row r="235" spans="1:122" ht="12.75" customHeight="1" x14ac:dyDescent="0.2">
      <c r="A235" s="53" t="s">
        <v>425</v>
      </c>
      <c r="B235" s="54">
        <v>2</v>
      </c>
      <c r="C235" s="92">
        <f t="shared" si="351"/>
        <v>97.052661435625254</v>
      </c>
      <c r="D235" s="92">
        <f t="shared" si="352"/>
        <v>93.048340430581462</v>
      </c>
      <c r="E235" s="92">
        <f>VLOOKUP(A235,[3]TRTOTAL!$A$7:$D$313,3,FALSE)</f>
        <v>97.052661435625254</v>
      </c>
      <c r="F235" s="92">
        <f>VLOOKUP(A235,[3]TRTOTAL!$A$7:$D$313,4,FALSE)</f>
        <v>93.048340430581462</v>
      </c>
      <c r="G235" s="92">
        <f t="shared" si="307"/>
        <v>0</v>
      </c>
      <c r="H235" s="92">
        <f t="shared" si="308"/>
        <v>0</v>
      </c>
      <c r="I235" s="54">
        <v>6.1</v>
      </c>
      <c r="J235" s="56">
        <v>6</v>
      </c>
      <c r="K235" s="54">
        <v>2.5</v>
      </c>
      <c r="L235" s="57">
        <v>2</v>
      </c>
      <c r="M235" s="57">
        <v>200</v>
      </c>
      <c r="N235" s="57"/>
      <c r="O235" s="87"/>
      <c r="P235" s="24">
        <f t="shared" si="350"/>
        <v>20</v>
      </c>
      <c r="Q235" s="24">
        <f t="shared" si="346"/>
        <v>7.5</v>
      </c>
      <c r="R235" s="24">
        <f t="shared" si="353"/>
        <v>5.6</v>
      </c>
      <c r="S235" s="87">
        <v>7.9</v>
      </c>
      <c r="T235" s="21">
        <f t="shared" si="335"/>
        <v>5</v>
      </c>
      <c r="U235" s="21"/>
      <c r="V235" s="24">
        <f t="shared" si="354"/>
        <v>2.25</v>
      </c>
      <c r="W235" s="24">
        <f t="shared" si="337"/>
        <v>2.41</v>
      </c>
      <c r="X235" s="24">
        <f t="shared" si="338"/>
        <v>3.4434668824572578</v>
      </c>
      <c r="Y235" s="25">
        <f t="shared" si="315"/>
        <v>1</v>
      </c>
      <c r="Z235" s="24">
        <f t="shared" si="310"/>
        <v>19.41795863142368</v>
      </c>
      <c r="AA235" s="21">
        <f t="shared" si="339"/>
        <v>0</v>
      </c>
      <c r="AB235" s="24">
        <f t="shared" si="322"/>
        <v>5.04</v>
      </c>
      <c r="AC235" s="24">
        <f t="shared" si="331"/>
        <v>27.552758631423679</v>
      </c>
      <c r="AD235" s="58">
        <f t="shared" si="340"/>
        <v>350</v>
      </c>
      <c r="AE235" s="58">
        <f t="shared" si="341"/>
        <v>356</v>
      </c>
      <c r="AF235" s="21">
        <f t="shared" si="316"/>
        <v>3.75</v>
      </c>
      <c r="AG235" s="77">
        <f t="shared" si="317"/>
        <v>0</v>
      </c>
      <c r="AH235" s="114">
        <f t="shared" si="311"/>
        <v>1</v>
      </c>
      <c r="AI235" s="59">
        <f t="shared" si="318"/>
        <v>94.909747176050587</v>
      </c>
      <c r="AJ235" s="59">
        <f t="shared" si="319"/>
        <v>90.993841227891295</v>
      </c>
      <c r="AK235" s="55"/>
      <c r="AL235" s="55"/>
      <c r="AM235" s="21">
        <f t="shared" si="342"/>
        <v>0</v>
      </c>
      <c r="AN235" s="54">
        <v>7.5</v>
      </c>
      <c r="AO235" s="55"/>
      <c r="AP235" s="21">
        <f t="shared" si="347"/>
        <v>0</v>
      </c>
      <c r="AQ235" s="55"/>
      <c r="AR235" s="55"/>
      <c r="AS235" s="21">
        <f t="shared" si="293"/>
        <v>0</v>
      </c>
      <c r="AT235" s="54"/>
      <c r="AU235" s="54"/>
      <c r="AV235" s="21">
        <f t="shared" si="294"/>
        <v>0</v>
      </c>
      <c r="AW235" s="54"/>
      <c r="AX235" s="54"/>
      <c r="AY235" s="21">
        <f t="shared" si="295"/>
        <v>0</v>
      </c>
      <c r="AZ235" s="54"/>
      <c r="BA235" s="54"/>
      <c r="BB235" s="21">
        <f>AZ235*BA235*2/3</f>
        <v>0</v>
      </c>
      <c r="BC235" s="54"/>
      <c r="BD235" s="54"/>
      <c r="BE235" s="21">
        <f t="shared" si="326"/>
        <v>0</v>
      </c>
      <c r="BF235" s="55"/>
      <c r="BG235" s="55"/>
      <c r="BH235" s="21">
        <f t="shared" si="327"/>
        <v>0</v>
      </c>
      <c r="BI235" s="55"/>
      <c r="BJ235" s="55"/>
      <c r="BK235" s="21">
        <f t="shared" si="328"/>
        <v>0</v>
      </c>
      <c r="BL235" s="55"/>
      <c r="BM235" s="55"/>
      <c r="BN235" s="21">
        <f t="shared" si="329"/>
        <v>0</v>
      </c>
      <c r="BO235" s="55"/>
      <c r="BP235" s="55"/>
      <c r="BQ235" s="21">
        <f t="shared" si="330"/>
        <v>0</v>
      </c>
      <c r="BR235" s="55"/>
      <c r="BS235" s="21">
        <f t="shared" si="348"/>
        <v>0</v>
      </c>
      <c r="BT235" s="56">
        <v>0</v>
      </c>
      <c r="BU235" s="56"/>
      <c r="BV235" s="21">
        <f t="shared" si="302"/>
        <v>0</v>
      </c>
      <c r="BW235" s="77">
        <f t="shared" si="323"/>
        <v>0</v>
      </c>
      <c r="BX235" s="55"/>
      <c r="BY235" s="21">
        <f t="shared" si="303"/>
        <v>0</v>
      </c>
      <c r="BZ235" s="55"/>
      <c r="CA235" s="55"/>
      <c r="CB235" s="21">
        <f t="shared" si="309"/>
        <v>0</v>
      </c>
      <c r="CC235" s="55"/>
      <c r="CD235" s="55"/>
      <c r="CE235" s="21">
        <f t="shared" si="304"/>
        <v>0</v>
      </c>
      <c r="CF235" s="21"/>
      <c r="CG235" s="21"/>
      <c r="CH235" s="21">
        <f t="shared" si="324"/>
        <v>0</v>
      </c>
      <c r="CI235" s="25">
        <f t="shared" si="312"/>
        <v>5.6</v>
      </c>
      <c r="CJ235" s="54"/>
      <c r="CK235" s="21">
        <f t="shared" si="349"/>
        <v>0</v>
      </c>
      <c r="CL235" s="55"/>
      <c r="CM235" s="55"/>
      <c r="CN235" s="60"/>
      <c r="CO235" s="55"/>
      <c r="CP235" s="55"/>
      <c r="CQ235" s="55"/>
      <c r="CR235" s="55"/>
      <c r="CS235" s="55"/>
      <c r="CT235" s="55"/>
      <c r="CU235" s="55"/>
      <c r="CV235" s="55"/>
      <c r="CW235" s="55"/>
      <c r="CX235" s="55"/>
      <c r="CY235" s="21">
        <f t="shared" si="343"/>
        <v>0</v>
      </c>
      <c r="CZ235" s="56"/>
      <c r="DA235" s="56"/>
      <c r="DB235" s="56"/>
      <c r="DC235" s="56"/>
      <c r="DD235" s="61">
        <f t="shared" si="313"/>
        <v>0</v>
      </c>
      <c r="DE235" s="21">
        <f t="shared" si="314"/>
        <v>0</v>
      </c>
      <c r="DF235" s="55">
        <v>20</v>
      </c>
      <c r="DG235" s="55">
        <v>5.6</v>
      </c>
      <c r="DH235" s="55">
        <v>5</v>
      </c>
      <c r="DI235" s="55"/>
      <c r="DJ235" s="104"/>
      <c r="DK235" s="53"/>
      <c r="DM235" s="58">
        <f t="shared" si="273"/>
        <v>949.40805119999993</v>
      </c>
      <c r="DN235" s="58">
        <f t="shared" si="344"/>
        <v>775</v>
      </c>
      <c r="DO235" s="21">
        <f t="shared" si="345"/>
        <v>0.81629811230317917</v>
      </c>
      <c r="DP235" s="62">
        <f t="shared" si="332"/>
        <v>1.0225784423974886</v>
      </c>
      <c r="DQ235" s="7">
        <v>0</v>
      </c>
      <c r="DR235" s="107">
        <f t="shared" si="274"/>
        <v>0</v>
      </c>
    </row>
    <row r="236" spans="1:122" ht="12.75" customHeight="1" x14ac:dyDescent="0.2">
      <c r="A236" s="53" t="s">
        <v>426</v>
      </c>
      <c r="B236" s="54">
        <v>2</v>
      </c>
      <c r="C236" s="92">
        <f t="shared" si="351"/>
        <v>119.62464203022536</v>
      </c>
      <c r="D236" s="92">
        <f t="shared" si="352"/>
        <v>112.35901166299969</v>
      </c>
      <c r="E236" s="92">
        <f>VLOOKUP(A236,[3]TRTOTAL!$A$7:$D$313,3,FALSE)</f>
        <v>119.62464203022536</v>
      </c>
      <c r="F236" s="92">
        <f>VLOOKUP(A236,[3]TRTOTAL!$A$7:$D$313,4,FALSE)</f>
        <v>112.35901166299969</v>
      </c>
      <c r="G236" s="92">
        <f t="shared" si="307"/>
        <v>0</v>
      </c>
      <c r="H236" s="92">
        <f t="shared" si="308"/>
        <v>0</v>
      </c>
      <c r="I236" s="54">
        <v>5.03</v>
      </c>
      <c r="J236" s="56">
        <v>4.82</v>
      </c>
      <c r="K236" s="54">
        <v>2.29</v>
      </c>
      <c r="L236" s="57">
        <v>2</v>
      </c>
      <c r="M236" s="57">
        <v>160</v>
      </c>
      <c r="N236" s="57"/>
      <c r="O236" s="87"/>
      <c r="P236" s="24">
        <f t="shared" si="350"/>
        <v>12.6</v>
      </c>
      <c r="Q236" s="24">
        <f t="shared" si="346"/>
        <v>6.45</v>
      </c>
      <c r="R236" s="24">
        <f t="shared" si="353"/>
        <v>3.4</v>
      </c>
      <c r="S236" s="87">
        <v>8</v>
      </c>
      <c r="T236" s="21">
        <f t="shared" si="335"/>
        <v>4.66</v>
      </c>
      <c r="U236" s="21"/>
      <c r="V236" s="24">
        <f t="shared" si="354"/>
        <v>1.9350000000000001</v>
      </c>
      <c r="W236" s="24">
        <f t="shared" si="337"/>
        <v>2.0950000000000002</v>
      </c>
      <c r="X236" s="24">
        <f t="shared" si="338"/>
        <v>2.8707970449017712</v>
      </c>
      <c r="Y236" s="25">
        <f t="shared" si="315"/>
        <v>1</v>
      </c>
      <c r="Z236" s="24">
        <f t="shared" si="310"/>
        <v>11.583667820585456</v>
      </c>
      <c r="AA236" s="21">
        <f t="shared" si="339"/>
        <v>0</v>
      </c>
      <c r="AB236" s="24">
        <f t="shared" si="322"/>
        <v>3.06</v>
      </c>
      <c r="AC236" s="24">
        <f t="shared" si="331"/>
        <v>17.395867820585455</v>
      </c>
      <c r="AD236" s="58">
        <f t="shared" si="340"/>
        <v>310</v>
      </c>
      <c r="AE236" s="58">
        <f t="shared" si="341"/>
        <v>316</v>
      </c>
      <c r="AF236" s="21">
        <f t="shared" si="316"/>
        <v>3.15</v>
      </c>
      <c r="AG236" s="77">
        <f t="shared" si="317"/>
        <v>0</v>
      </c>
      <c r="AH236" s="114">
        <f t="shared" si="311"/>
        <v>1</v>
      </c>
      <c r="AI236" s="59">
        <f t="shared" si="318"/>
        <v>119.62464203022536</v>
      </c>
      <c r="AJ236" s="59">
        <f t="shared" si="319"/>
        <v>112.35901166299969</v>
      </c>
      <c r="AK236" s="55"/>
      <c r="AL236" s="55"/>
      <c r="AM236" s="21">
        <f t="shared" si="342"/>
        <v>0</v>
      </c>
      <c r="AN236" s="54">
        <v>6.45</v>
      </c>
      <c r="AO236" s="55"/>
      <c r="AP236" s="21">
        <f t="shared" si="347"/>
        <v>0</v>
      </c>
      <c r="AQ236" s="55"/>
      <c r="AR236" s="55"/>
      <c r="AS236" s="21">
        <f t="shared" si="293"/>
        <v>0</v>
      </c>
      <c r="AT236" s="54"/>
      <c r="AU236" s="54"/>
      <c r="AV236" s="21">
        <f t="shared" si="294"/>
        <v>0</v>
      </c>
      <c r="AW236" s="54"/>
      <c r="AX236" s="54"/>
      <c r="AY236" s="21">
        <f t="shared" si="295"/>
        <v>0</v>
      </c>
      <c r="AZ236" s="54"/>
      <c r="BA236" s="54"/>
      <c r="BB236" s="21">
        <f>AZ236*BA236*2/3</f>
        <v>0</v>
      </c>
      <c r="BC236" s="54"/>
      <c r="BD236" s="54"/>
      <c r="BE236" s="21">
        <f t="shared" si="326"/>
        <v>0</v>
      </c>
      <c r="BF236" s="55"/>
      <c r="BG236" s="55"/>
      <c r="BH236" s="21">
        <f t="shared" si="327"/>
        <v>0</v>
      </c>
      <c r="BI236" s="55"/>
      <c r="BJ236" s="55"/>
      <c r="BK236" s="21">
        <f t="shared" si="328"/>
        <v>0</v>
      </c>
      <c r="BL236" s="55"/>
      <c r="BM236" s="55"/>
      <c r="BN236" s="21">
        <f t="shared" si="329"/>
        <v>0</v>
      </c>
      <c r="BO236" s="55"/>
      <c r="BP236" s="55"/>
      <c r="BQ236" s="21">
        <f t="shared" si="330"/>
        <v>0</v>
      </c>
      <c r="BR236" s="55"/>
      <c r="BS236" s="21">
        <f t="shared" si="348"/>
        <v>0</v>
      </c>
      <c r="BT236" s="56">
        <v>0</v>
      </c>
      <c r="BU236" s="56"/>
      <c r="BV236" s="21">
        <f t="shared" si="302"/>
        <v>0</v>
      </c>
      <c r="BW236" s="77">
        <f t="shared" si="323"/>
        <v>0</v>
      </c>
      <c r="BX236" s="55"/>
      <c r="BY236" s="21">
        <f t="shared" si="303"/>
        <v>0</v>
      </c>
      <c r="BZ236" s="55"/>
      <c r="CA236" s="55"/>
      <c r="CB236" s="21">
        <f t="shared" si="309"/>
        <v>0</v>
      </c>
      <c r="CC236" s="54"/>
      <c r="CD236" s="54"/>
      <c r="CE236" s="21">
        <f t="shared" si="304"/>
        <v>0</v>
      </c>
      <c r="CF236" s="21"/>
      <c r="CG236" s="21"/>
      <c r="CH236" s="21">
        <f t="shared" si="324"/>
        <v>0</v>
      </c>
      <c r="CI236" s="25">
        <f t="shared" si="312"/>
        <v>3.4</v>
      </c>
      <c r="CJ236" s="54"/>
      <c r="CK236" s="21">
        <f t="shared" si="349"/>
        <v>0</v>
      </c>
      <c r="CL236" s="55"/>
      <c r="CM236" s="55"/>
      <c r="CN236" s="60"/>
      <c r="CO236" s="55"/>
      <c r="CP236" s="55"/>
      <c r="CQ236" s="55"/>
      <c r="CR236" s="55"/>
      <c r="CS236" s="55"/>
      <c r="CT236" s="55"/>
      <c r="CU236" s="55"/>
      <c r="CV236" s="55"/>
      <c r="CW236" s="55"/>
      <c r="CX236" s="55"/>
      <c r="CY236" s="21">
        <f t="shared" si="343"/>
        <v>0</v>
      </c>
      <c r="CZ236" s="56"/>
      <c r="DA236" s="56"/>
      <c r="DB236" s="56"/>
      <c r="DC236" s="56"/>
      <c r="DD236" s="61">
        <f t="shared" si="313"/>
        <v>0</v>
      </c>
      <c r="DE236" s="21">
        <f t="shared" si="314"/>
        <v>0</v>
      </c>
      <c r="DF236" s="55">
        <v>12.6</v>
      </c>
      <c r="DG236" s="55">
        <v>3.4</v>
      </c>
      <c r="DH236" s="55">
        <v>4.66</v>
      </c>
      <c r="DI236" s="55"/>
      <c r="DJ236" s="104"/>
      <c r="DK236" s="53" t="s">
        <v>127</v>
      </c>
      <c r="DM236" s="58">
        <f t="shared" si="273"/>
        <v>537.21435586559994</v>
      </c>
      <c r="DN236" s="58">
        <f t="shared" si="344"/>
        <v>676.7</v>
      </c>
      <c r="DO236" s="21">
        <f t="shared" si="345"/>
        <v>1.2596461591381907</v>
      </c>
      <c r="DP236" s="62">
        <f t="shared" si="332"/>
        <v>1</v>
      </c>
      <c r="DQ236" s="7" t="s">
        <v>130</v>
      </c>
      <c r="DR236" s="107">
        <f t="shared" si="274"/>
        <v>0</v>
      </c>
    </row>
    <row r="237" spans="1:122" ht="12.75" customHeight="1" x14ac:dyDescent="0.2">
      <c r="A237" s="53" t="s">
        <v>427</v>
      </c>
      <c r="B237" s="54">
        <v>2</v>
      </c>
      <c r="C237" s="92">
        <f t="shared" si="351"/>
        <v>104.38083581564808</v>
      </c>
      <c r="D237" s="92">
        <f t="shared" si="352"/>
        <v>99.960418870354729</v>
      </c>
      <c r="E237" s="92">
        <f>VLOOKUP(A237,[3]TRTOTAL!$A$7:$D$313,3,FALSE)</f>
        <v>104.95771809188007</v>
      </c>
      <c r="F237" s="92">
        <f>VLOOKUP(A237,[3]TRTOTAL!$A$7:$D$313,4,FALSE)</f>
        <v>100.37014141528145</v>
      </c>
      <c r="G237" s="92">
        <f t="shared" si="307"/>
        <v>-0.57688227623198429</v>
      </c>
      <c r="H237" s="92">
        <f t="shared" si="308"/>
        <v>-0.40972254492672278</v>
      </c>
      <c r="I237" s="54">
        <v>5.52</v>
      </c>
      <c r="J237" s="56">
        <v>5.52</v>
      </c>
      <c r="K237" s="54">
        <v>2.6</v>
      </c>
      <c r="L237" s="57">
        <v>2</v>
      </c>
      <c r="M237" s="57"/>
      <c r="N237" s="57">
        <v>180</v>
      </c>
      <c r="O237" s="87"/>
      <c r="P237" s="24">
        <f t="shared" si="350"/>
        <v>17</v>
      </c>
      <c r="Q237" s="24">
        <f t="shared" si="346"/>
        <v>9.0500000000000007</v>
      </c>
      <c r="R237" s="24">
        <f t="shared" si="353"/>
        <v>4.3</v>
      </c>
      <c r="S237" s="87">
        <v>9.0500000000000007</v>
      </c>
      <c r="T237" s="21">
        <f t="shared" si="335"/>
        <v>5.73</v>
      </c>
      <c r="U237" s="21">
        <v>2.1</v>
      </c>
      <c r="V237" s="24">
        <f t="shared" si="354"/>
        <v>2.1</v>
      </c>
      <c r="W237" s="24">
        <f t="shared" si="337"/>
        <v>2.2600000000000002</v>
      </c>
      <c r="X237" s="24">
        <f t="shared" si="338"/>
        <v>3.3283734043386315</v>
      </c>
      <c r="Y237" s="25">
        <f t="shared" si="315"/>
        <v>1</v>
      </c>
      <c r="Z237" s="24">
        <f t="shared" si="310"/>
        <v>16.337791034816128</v>
      </c>
      <c r="AA237" s="21">
        <f t="shared" si="339"/>
        <v>0</v>
      </c>
      <c r="AB237" s="24">
        <f t="shared" si="322"/>
        <v>3.87</v>
      </c>
      <c r="AC237" s="24">
        <f t="shared" si="331"/>
        <v>22.854691034816128</v>
      </c>
      <c r="AD237" s="58">
        <f t="shared" si="340"/>
        <v>324</v>
      </c>
      <c r="AE237" s="58">
        <f t="shared" si="341"/>
        <v>330</v>
      </c>
      <c r="AF237" s="21">
        <f t="shared" si="316"/>
        <v>3.15</v>
      </c>
      <c r="AG237" s="77">
        <f t="shared" si="317"/>
        <v>0</v>
      </c>
      <c r="AH237" s="114">
        <f t="shared" si="311"/>
        <v>1</v>
      </c>
      <c r="AI237" s="59">
        <f t="shared" si="318"/>
        <v>102.43303194979761</v>
      </c>
      <c r="AJ237" s="59">
        <f t="shared" si="319"/>
        <v>98.095102418476685</v>
      </c>
      <c r="AK237" s="55"/>
      <c r="AL237" s="55"/>
      <c r="AM237" s="21">
        <f t="shared" si="342"/>
        <v>0</v>
      </c>
      <c r="AN237" s="54">
        <v>9.0500000000000007</v>
      </c>
      <c r="AO237" s="55"/>
      <c r="AP237" s="21">
        <f t="shared" si="347"/>
        <v>0</v>
      </c>
      <c r="AQ237" s="55"/>
      <c r="AR237" s="55"/>
      <c r="AS237" s="21">
        <f t="shared" si="293"/>
        <v>0</v>
      </c>
      <c r="AT237" s="54"/>
      <c r="AU237" s="54"/>
      <c r="AV237" s="21">
        <f t="shared" si="294"/>
        <v>0</v>
      </c>
      <c r="AW237" s="54"/>
      <c r="AX237" s="54"/>
      <c r="AY237" s="21">
        <f t="shared" si="295"/>
        <v>0</v>
      </c>
      <c r="AZ237" s="54"/>
      <c r="BA237" s="54"/>
      <c r="BB237" s="21">
        <f>AZ237*BA237*2/3</f>
        <v>0</v>
      </c>
      <c r="BC237" s="54"/>
      <c r="BD237" s="54"/>
      <c r="BE237" s="21">
        <f t="shared" si="326"/>
        <v>0</v>
      </c>
      <c r="BF237" s="55"/>
      <c r="BG237" s="55"/>
      <c r="BH237" s="21">
        <f t="shared" si="327"/>
        <v>0</v>
      </c>
      <c r="BI237" s="55"/>
      <c r="BJ237" s="55"/>
      <c r="BK237" s="21">
        <f t="shared" si="328"/>
        <v>0</v>
      </c>
      <c r="BL237" s="55"/>
      <c r="BM237" s="55"/>
      <c r="BN237" s="21">
        <f t="shared" si="329"/>
        <v>0</v>
      </c>
      <c r="BO237" s="55"/>
      <c r="BP237" s="55"/>
      <c r="BQ237" s="21">
        <f t="shared" si="330"/>
        <v>0</v>
      </c>
      <c r="BR237" s="55"/>
      <c r="BS237" s="21">
        <f t="shared" si="348"/>
        <v>0</v>
      </c>
      <c r="BT237" s="56">
        <v>0</v>
      </c>
      <c r="BU237" s="56"/>
      <c r="BV237" s="21">
        <f t="shared" si="302"/>
        <v>0</v>
      </c>
      <c r="BW237" s="77">
        <f t="shared" si="323"/>
        <v>0</v>
      </c>
      <c r="BX237" s="55"/>
      <c r="BY237" s="21">
        <f t="shared" si="303"/>
        <v>0</v>
      </c>
      <c r="BZ237" s="55"/>
      <c r="CA237" s="55"/>
      <c r="CB237" s="21">
        <f t="shared" si="309"/>
        <v>0</v>
      </c>
      <c r="CC237" s="55"/>
      <c r="CD237" s="55"/>
      <c r="CE237" s="21">
        <f t="shared" si="304"/>
        <v>0</v>
      </c>
      <c r="CF237" s="21"/>
      <c r="CG237" s="21"/>
      <c r="CH237" s="21">
        <f t="shared" si="324"/>
        <v>0</v>
      </c>
      <c r="CI237" s="25">
        <f t="shared" si="312"/>
        <v>4.3</v>
      </c>
      <c r="CJ237" s="54"/>
      <c r="CK237" s="21">
        <f t="shared" si="349"/>
        <v>0</v>
      </c>
      <c r="CL237" s="55"/>
      <c r="CM237" s="55"/>
      <c r="CN237" s="60"/>
      <c r="CO237" s="55"/>
      <c r="CP237" s="55"/>
      <c r="CQ237" s="55"/>
      <c r="CR237" s="55"/>
      <c r="CS237" s="55"/>
      <c r="CT237" s="55"/>
      <c r="CU237" s="55"/>
      <c r="CV237" s="55"/>
      <c r="CW237" s="55"/>
      <c r="CX237" s="55"/>
      <c r="CY237" s="21">
        <f t="shared" si="343"/>
        <v>0</v>
      </c>
      <c r="CZ237" s="56"/>
      <c r="DA237" s="56"/>
      <c r="DB237" s="56"/>
      <c r="DC237" s="56"/>
      <c r="DD237" s="61">
        <f t="shared" si="313"/>
        <v>0</v>
      </c>
      <c r="DE237" s="21">
        <f t="shared" si="314"/>
        <v>21</v>
      </c>
      <c r="DF237" s="55">
        <v>17</v>
      </c>
      <c r="DG237" s="55">
        <v>4.3</v>
      </c>
      <c r="DH237" s="55">
        <v>5.73</v>
      </c>
      <c r="DI237" s="55">
        <v>21</v>
      </c>
      <c r="DJ237" s="104"/>
      <c r="DK237" s="53" t="s">
        <v>169</v>
      </c>
      <c r="DM237" s="58">
        <f t="shared" si="273"/>
        <v>909.31118396160002</v>
      </c>
      <c r="DN237" s="58">
        <f t="shared" si="344"/>
        <v>766.2</v>
      </c>
      <c r="DO237" s="21">
        <f t="shared" si="345"/>
        <v>0.84261583219717273</v>
      </c>
      <c r="DP237" s="62">
        <f t="shared" si="332"/>
        <v>1.0190153881885005</v>
      </c>
      <c r="DQ237" s="7" t="s">
        <v>130</v>
      </c>
      <c r="DR237" s="107" t="str">
        <f t="shared" si="274"/>
        <v>yes</v>
      </c>
    </row>
    <row r="238" spans="1:122" ht="12.75" customHeight="1" x14ac:dyDescent="0.2">
      <c r="A238" s="53" t="s">
        <v>428</v>
      </c>
      <c r="B238" s="69">
        <v>2</v>
      </c>
      <c r="C238" s="92">
        <f t="shared" si="351"/>
        <v>114.16824069034055</v>
      </c>
      <c r="D238" s="92">
        <f t="shared" si="352"/>
        <v>109.25178731613782</v>
      </c>
      <c r="E238" s="92">
        <f>VLOOKUP(A238,[3]TRTOTAL!$A$7:$D$313,3,FALSE)</f>
        <v>114.16824069034055</v>
      </c>
      <c r="F238" s="92">
        <f>VLOOKUP(A238,[3]TRTOTAL!$A$7:$D$313,4,FALSE)</f>
        <v>109.25178731613782</v>
      </c>
      <c r="G238" s="92">
        <f t="shared" si="307"/>
        <v>0</v>
      </c>
      <c r="H238" s="92">
        <f t="shared" si="308"/>
        <v>0</v>
      </c>
      <c r="I238" s="54">
        <v>4.8</v>
      </c>
      <c r="J238" s="56">
        <v>4.75</v>
      </c>
      <c r="K238" s="54">
        <v>2.35</v>
      </c>
      <c r="L238" s="57">
        <v>2</v>
      </c>
      <c r="M238" s="57"/>
      <c r="N238" s="57">
        <v>148</v>
      </c>
      <c r="O238" s="87"/>
      <c r="P238" s="24">
        <f t="shared" si="350"/>
        <v>13.8</v>
      </c>
      <c r="Q238" s="24">
        <f t="shared" si="346"/>
        <v>7.45</v>
      </c>
      <c r="R238" s="24">
        <f t="shared" si="353"/>
        <v>3.8</v>
      </c>
      <c r="S238" s="87">
        <v>8</v>
      </c>
      <c r="T238" s="21">
        <f t="shared" si="335"/>
        <v>5.3</v>
      </c>
      <c r="U238" s="21"/>
      <c r="V238" s="24">
        <f t="shared" si="354"/>
        <v>2.21</v>
      </c>
      <c r="W238" s="24">
        <f t="shared" si="337"/>
        <v>2.37</v>
      </c>
      <c r="X238" s="24">
        <f t="shared" si="338"/>
        <v>2.4568712279015115</v>
      </c>
      <c r="Y238" s="25">
        <f t="shared" si="315"/>
        <v>1</v>
      </c>
      <c r="Z238" s="24">
        <f t="shared" si="310"/>
        <v>12.107893921880567</v>
      </c>
      <c r="AA238" s="21">
        <f t="shared" si="339"/>
        <v>0</v>
      </c>
      <c r="AB238" s="24">
        <f t="shared" si="322"/>
        <v>3.42</v>
      </c>
      <c r="AC238" s="24">
        <f t="shared" si="331"/>
        <v>17.633293921880568</v>
      </c>
      <c r="AD238" s="58">
        <f t="shared" si="340"/>
        <v>282</v>
      </c>
      <c r="AE238" s="58">
        <f t="shared" si="341"/>
        <v>288</v>
      </c>
      <c r="AF238" s="21">
        <f t="shared" si="316"/>
        <v>2.5499999999999998</v>
      </c>
      <c r="AG238" s="77">
        <f t="shared" si="317"/>
        <v>0</v>
      </c>
      <c r="AH238" s="114">
        <f t="shared" si="311"/>
        <v>1</v>
      </c>
      <c r="AI238" s="59">
        <f t="shared" si="318"/>
        <v>113.80989292604531</v>
      </c>
      <c r="AJ238" s="59">
        <f t="shared" si="319"/>
        <v>108.9088711645595</v>
      </c>
      <c r="AK238" s="55"/>
      <c r="AL238" s="55">
        <v>2.21</v>
      </c>
      <c r="AM238" s="21">
        <f t="shared" si="342"/>
        <v>0</v>
      </c>
      <c r="AN238" s="54">
        <v>7.45</v>
      </c>
      <c r="AO238" s="55"/>
      <c r="AP238" s="21">
        <f t="shared" si="347"/>
        <v>0</v>
      </c>
      <c r="AQ238" s="55"/>
      <c r="AR238" s="55"/>
      <c r="AS238" s="21"/>
      <c r="AT238" s="54"/>
      <c r="AU238" s="54"/>
      <c r="AV238" s="21"/>
      <c r="AW238" s="54"/>
      <c r="AX238" s="54"/>
      <c r="AY238" s="21"/>
      <c r="AZ238" s="54"/>
      <c r="BA238" s="54"/>
      <c r="BB238" s="21"/>
      <c r="BC238" s="54"/>
      <c r="BD238" s="54"/>
      <c r="BE238" s="21"/>
      <c r="BF238" s="55"/>
      <c r="BG238" s="55"/>
      <c r="BH238" s="21"/>
      <c r="BI238" s="55"/>
      <c r="BJ238" s="55"/>
      <c r="BK238" s="21"/>
      <c r="BL238" s="55"/>
      <c r="BM238" s="55"/>
      <c r="BN238" s="21"/>
      <c r="BO238" s="55"/>
      <c r="BP238" s="55"/>
      <c r="BQ238" s="21"/>
      <c r="BR238" s="55">
        <v>0</v>
      </c>
      <c r="BS238" s="21">
        <f t="shared" si="348"/>
        <v>0</v>
      </c>
      <c r="BT238" s="56"/>
      <c r="BU238" s="56"/>
      <c r="BV238" s="21"/>
      <c r="BW238" s="77">
        <f t="shared" si="323"/>
        <v>0</v>
      </c>
      <c r="BX238" s="55"/>
      <c r="BY238" s="21"/>
      <c r="BZ238" s="55"/>
      <c r="CA238" s="55"/>
      <c r="CB238" s="21"/>
      <c r="CC238" s="54"/>
      <c r="CD238" s="54"/>
      <c r="CE238" s="21"/>
      <c r="CF238" s="21"/>
      <c r="CG238" s="21"/>
      <c r="CH238" s="21">
        <f t="shared" si="324"/>
        <v>0</v>
      </c>
      <c r="CI238" s="25">
        <f t="shared" si="312"/>
        <v>3.8</v>
      </c>
      <c r="CJ238" s="54"/>
      <c r="CK238" s="21">
        <f t="shared" si="349"/>
        <v>0</v>
      </c>
      <c r="CL238" s="55"/>
      <c r="CM238" s="55"/>
      <c r="CN238" s="60"/>
      <c r="CO238" s="55" t="s">
        <v>520</v>
      </c>
      <c r="CP238" s="55"/>
      <c r="CQ238" s="55"/>
      <c r="CR238" s="55"/>
      <c r="CS238" s="55"/>
      <c r="CT238" s="55"/>
      <c r="CU238" s="55"/>
      <c r="CV238" s="55"/>
      <c r="CW238" s="55"/>
      <c r="CX238" s="55"/>
      <c r="CY238" s="21">
        <f t="shared" si="343"/>
        <v>0</v>
      </c>
      <c r="CZ238" s="56"/>
      <c r="DA238" s="56"/>
      <c r="DB238" s="56"/>
      <c r="DC238" s="56"/>
      <c r="DD238" s="61">
        <f t="shared" si="313"/>
        <v>0</v>
      </c>
      <c r="DE238" s="21">
        <f t="shared" si="314"/>
        <v>17</v>
      </c>
      <c r="DF238" s="55">
        <v>13.8</v>
      </c>
      <c r="DG238" s="55">
        <v>3.8</v>
      </c>
      <c r="DH238" s="55">
        <v>5.3</v>
      </c>
      <c r="DI238" s="55">
        <v>17</v>
      </c>
      <c r="DJ238" s="104"/>
      <c r="DK238" s="53" t="s">
        <v>517</v>
      </c>
      <c r="DM238" s="58">
        <f t="shared" si="273"/>
        <v>654.2842091519999</v>
      </c>
      <c r="DN238" s="58">
        <f t="shared" si="344"/>
        <v>635.85</v>
      </c>
      <c r="DO238" s="21">
        <f t="shared" si="345"/>
        <v>0.97182537971397487</v>
      </c>
      <c r="DP238" s="62">
        <f t="shared" si="332"/>
        <v>1.0031486521521298</v>
      </c>
      <c r="DQ238" s="7" t="s">
        <v>130</v>
      </c>
      <c r="DR238" s="107">
        <f t="shared" si="274"/>
        <v>0</v>
      </c>
    </row>
    <row r="239" spans="1:122" ht="12.75" customHeight="1" x14ac:dyDescent="0.2">
      <c r="A239" s="53" t="s">
        <v>598</v>
      </c>
      <c r="B239" s="69">
        <v>1</v>
      </c>
      <c r="C239" s="92">
        <f>AI239*PowerFactor</f>
        <v>118.63351982855822</v>
      </c>
      <c r="D239" s="92">
        <f>AJ239*PowerFactor*IF(crew=1,1.01,1)</f>
        <v>112.0032172829127</v>
      </c>
      <c r="E239" s="92">
        <v>114.16824069034055</v>
      </c>
      <c r="F239" s="92">
        <v>109.25178731613782</v>
      </c>
      <c r="G239" s="92"/>
      <c r="H239" s="92"/>
      <c r="I239" s="54">
        <v>4.8</v>
      </c>
      <c r="J239" s="56">
        <v>4.75</v>
      </c>
      <c r="K239" s="54">
        <v>2.35</v>
      </c>
      <c r="L239" s="57">
        <v>1</v>
      </c>
      <c r="M239" s="57"/>
      <c r="N239" s="57">
        <v>145</v>
      </c>
      <c r="O239" s="87"/>
      <c r="P239" s="24">
        <f>marea+areaMast+mssam+mareNoDet</f>
        <v>13.8</v>
      </c>
      <c r="Q239" s="24">
        <f t="shared" si="346"/>
        <v>7.45</v>
      </c>
      <c r="R239" s="24">
        <f>CI239</f>
        <v>0</v>
      </c>
      <c r="S239" s="87">
        <v>8</v>
      </c>
      <c r="T239" s="21"/>
      <c r="U239" s="21"/>
      <c r="V239" s="24">
        <f>IF(e_sp,e_sp,(IF(mfoot,MAX(CU239:CX239),IF(mainh1,mainh1,vlm*0.3))))</f>
        <v>2.21</v>
      </c>
      <c r="W239" s="24">
        <f>IF(circMast,circMast/2,0.16)+V239</f>
        <v>2.37</v>
      </c>
      <c r="X239" s="24">
        <f>msam/e^2</f>
        <v>2.4568712279015115</v>
      </c>
      <c r="Y239" s="25">
        <f>IF(Decksweeper="yes",1,IF(mainh1,(mainh1/V239)^0.7,IF(mfoot&lt;CW239,(mfoot/CW239)^0.7,1)))</f>
        <v>1</v>
      </c>
      <c r="Z239" s="24">
        <f>0.67*X239^0.3*msam*Y239</f>
        <v>12.107893921880567</v>
      </c>
      <c r="AA239" s="21">
        <f>IF(lpg,msag/lpg^2,0)</f>
        <v>0</v>
      </c>
      <c r="AB239" s="24">
        <f>IF(AA239,0.72*AA239^0.3*msag,IF(msag,0.9*msag,0))</f>
        <v>0</v>
      </c>
      <c r="AC239" s="24">
        <f>rsam+rsag+IF(rsascr,rsascr-jibred*rsag,rsas-jibred*rsag)</f>
        <v>14.657893921880568</v>
      </c>
      <c r="AD239" s="58">
        <f>IF(wsex,wsex,wsin-6)+crew*(IF(AND(crew=1,msam+msag&gt;=11),75,IF(loa&lt;=4,65,IF(loa&lt;=4.8,70,75))))</f>
        <v>214</v>
      </c>
      <c r="AE239" s="58">
        <f>IF(wsin,wsin,wsex+6)+crew*(IF(AND(crew=1,msam+msag&gt;=11),75,IF(loa&lt;=4,65,IF(loa&lt;=4.8,70,75))))</f>
        <v>220</v>
      </c>
      <c r="AF239" s="21">
        <f>IF(sas,((sas)*0.15),IF(loa&lt;=4.87,IF(crew=1,14*0.15,17*0.15),IF(loa&lt;=5.8,IF(crew=1,17*0.15,21*0.15),IF(loa&lt;=6.71,IF(crew=1,20*0.15,25*0.15),0))))</f>
        <v>2.5499999999999998</v>
      </c>
      <c r="AG239" s="77">
        <f>IF(AND(ars&lt;0.75*(AND(ars&gt;0)),(sas/msam&gt;0.75)),(sas*(12/ars^1.1)*0.01),0)</f>
        <v>0</v>
      </c>
      <c r="AH239" s="114">
        <f t="shared" si="311"/>
        <v>1</v>
      </c>
      <c r="AI239" s="59">
        <f>100/(1.15*rl^0.3*(rsam+rsag)^0.4/rwex^0.325)*corcb</f>
        <v>114.93468506174938</v>
      </c>
      <c r="AJ239" s="59">
        <f>100/(1.15*rl^0.3*rsa^0.4/rwin^0.325)*corcb</f>
        <v>107.43673910663841</v>
      </c>
      <c r="AK239" s="55"/>
      <c r="AL239" s="55">
        <v>2.21</v>
      </c>
      <c r="AM239" s="21">
        <f>AK239*AL239*0.5</f>
        <v>0</v>
      </c>
      <c r="AN239" s="54">
        <v>7.45</v>
      </c>
      <c r="AO239" s="55"/>
      <c r="AP239" s="21">
        <f>AN239*AO239*2/3</f>
        <v>0</v>
      </c>
      <c r="AQ239" s="55"/>
      <c r="AR239" s="55"/>
      <c r="AS239" s="21"/>
      <c r="AT239" s="54"/>
      <c r="AU239" s="54"/>
      <c r="AV239" s="21"/>
      <c r="AW239" s="54"/>
      <c r="AX239" s="54"/>
      <c r="AY239" s="21"/>
      <c r="AZ239" s="54"/>
      <c r="BA239" s="54"/>
      <c r="BB239" s="21"/>
      <c r="BC239" s="54"/>
      <c r="BD239" s="54"/>
      <c r="BE239" s="21"/>
      <c r="BF239" s="55"/>
      <c r="BG239" s="55"/>
      <c r="BH239" s="21"/>
      <c r="BI239" s="55"/>
      <c r="BJ239" s="55"/>
      <c r="BK239" s="21"/>
      <c r="BL239" s="55"/>
      <c r="BM239" s="55"/>
      <c r="BN239" s="21"/>
      <c r="BO239" s="55"/>
      <c r="BP239" s="55"/>
      <c r="BQ239" s="21"/>
      <c r="BR239" s="55">
        <v>0</v>
      </c>
      <c r="BS239" s="21">
        <f>AM239+AP239+AS239+AV239+AY239+BB239+BE239+BH239+BK239+BN239+BQ239</f>
        <v>0</v>
      </c>
      <c r="BT239" s="56"/>
      <c r="BU239" s="56"/>
      <c r="BV239" s="21"/>
      <c r="BW239" s="77">
        <f>BT239-CF239</f>
        <v>0</v>
      </c>
      <c r="BX239" s="55"/>
      <c r="BY239" s="21"/>
      <c r="BZ239" s="55"/>
      <c r="CA239" s="55"/>
      <c r="CB239" s="21"/>
      <c r="CC239" s="54"/>
      <c r="CD239" s="54"/>
      <c r="CE239" s="21"/>
      <c r="CF239" s="21"/>
      <c r="CG239" s="21"/>
      <c r="CH239" s="21">
        <f>CF239*CG239*0.5</f>
        <v>0</v>
      </c>
      <c r="CI239" s="25"/>
      <c r="CJ239" s="54"/>
      <c r="CK239" s="21">
        <f>MastLength*circMast*0.5</f>
        <v>0</v>
      </c>
      <c r="CL239" s="55"/>
      <c r="CM239" s="55"/>
      <c r="CN239" s="60"/>
      <c r="CO239" s="55" t="s">
        <v>520</v>
      </c>
      <c r="CP239" s="55"/>
      <c r="CQ239" s="55"/>
      <c r="CR239" s="55"/>
      <c r="CS239" s="55"/>
      <c r="CT239" s="55"/>
      <c r="CU239" s="55"/>
      <c r="CV239" s="55"/>
      <c r="CW239" s="55"/>
      <c r="CX239" s="55"/>
      <c r="CY239" s="21">
        <f>(CT239+4*CU239+2*CV239+4*CW239+CX239)*AN239/12</f>
        <v>0</v>
      </c>
      <c r="CZ239" s="56"/>
      <c r="DA239" s="56"/>
      <c r="DB239" s="56"/>
      <c r="DC239" s="56"/>
      <c r="DD239" s="61">
        <f>IF(CZ239,DC239/CZ239,smg_sf_no_details)</f>
        <v>0</v>
      </c>
      <c r="DE239" s="21">
        <f>IF(CZ239,CZ239*(DA239+DB239)/4+(DC239-CZ239/2)*(DA239+DB239)/3,sas_no_details)</f>
        <v>17</v>
      </c>
      <c r="DF239" s="55">
        <v>13.8</v>
      </c>
      <c r="DG239" s="55">
        <v>3.8</v>
      </c>
      <c r="DH239" s="55">
        <v>5.3</v>
      </c>
      <c r="DI239" s="55">
        <v>17</v>
      </c>
      <c r="DJ239" s="104"/>
      <c r="DK239" s="53" t="s">
        <v>517</v>
      </c>
      <c r="DM239" s="58">
        <f>((0.42*vlm+IF(Decksweeper="yes",0.98,1))*msam+(0.33*vlg+1)*msag)*DynPress</f>
        <v>552.91762713599985</v>
      </c>
      <c r="DN239" s="58">
        <f>IF(wsex,0.5*wsex*width+(rwex-wsex)*width+trapeze*(rwex-wsex)/crew,0.5*(wsin-6)*width+(rwin-wsin)*width+trapeze*(rwin-wsin)/crew)</f>
        <v>414.57500000000005</v>
      </c>
      <c r="DO239" s="21">
        <f>righting/heeling</f>
        <v>0.74979523106798696</v>
      </c>
      <c r="DP239" s="62">
        <f>IF((1/DO239)^$DP$5&lt;1,1,(1/DO239)^$DP$5)</f>
        <v>1.0321820585737163</v>
      </c>
      <c r="DQ239" s="7"/>
      <c r="DR239" s="107">
        <f>IF((vlm/MastLength)&gt;0.99,"yes",0)</f>
        <v>0</v>
      </c>
    </row>
    <row r="240" spans="1:122" ht="12.75" customHeight="1" x14ac:dyDescent="0.2">
      <c r="A240" s="53" t="s">
        <v>429</v>
      </c>
      <c r="B240" s="54">
        <v>1</v>
      </c>
      <c r="C240" s="92">
        <f t="shared" si="351"/>
        <v>116.987616880578</v>
      </c>
      <c r="D240" s="92">
        <f t="shared" si="352"/>
        <v>111.81827654143193</v>
      </c>
      <c r="E240" s="92">
        <f>VLOOKUP(A240,[3]TRTOTAL!$A$7:$D$313,3,FALSE)</f>
        <v>116.987616880578</v>
      </c>
      <c r="F240" s="92">
        <f>VLOOKUP(A240,[3]TRTOTAL!$A$7:$D$313,4,FALSE)</f>
        <v>111.81827654143193</v>
      </c>
      <c r="G240" s="92">
        <f t="shared" si="307"/>
        <v>0</v>
      </c>
      <c r="H240" s="92">
        <f t="shared" si="308"/>
        <v>0</v>
      </c>
      <c r="I240" s="54">
        <v>4.3499999999999996</v>
      </c>
      <c r="J240" s="56">
        <v>4.3499999999999996</v>
      </c>
      <c r="K240" s="54">
        <v>2</v>
      </c>
      <c r="L240" s="57">
        <v>1</v>
      </c>
      <c r="M240" s="57">
        <v>80</v>
      </c>
      <c r="N240" s="57"/>
      <c r="O240" s="87"/>
      <c r="P240" s="24">
        <f t="shared" si="350"/>
        <v>8.3000000000000007</v>
      </c>
      <c r="Q240" s="24">
        <f t="shared" si="346"/>
        <v>5.6</v>
      </c>
      <c r="R240" s="24">
        <f t="shared" si="353"/>
        <v>2.7</v>
      </c>
      <c r="S240" s="87">
        <v>6</v>
      </c>
      <c r="T240" s="21">
        <f t="shared" si="335"/>
        <v>3.6</v>
      </c>
      <c r="U240" s="21"/>
      <c r="V240" s="24">
        <f t="shared" si="354"/>
        <v>1.68</v>
      </c>
      <c r="W240" s="24">
        <f t="shared" si="337"/>
        <v>1.8399999999999999</v>
      </c>
      <c r="X240" s="24">
        <f t="shared" si="338"/>
        <v>2.4515595463138005</v>
      </c>
      <c r="Y240" s="25">
        <f t="shared" si="315"/>
        <v>1</v>
      </c>
      <c r="Z240" s="24">
        <f t="shared" si="310"/>
        <v>7.2775572234695742</v>
      </c>
      <c r="AA240" s="21">
        <f t="shared" si="339"/>
        <v>0</v>
      </c>
      <c r="AB240" s="24">
        <f t="shared" si="322"/>
        <v>2.4300000000000002</v>
      </c>
      <c r="AC240" s="24">
        <f t="shared" si="331"/>
        <v>11.491657223469575</v>
      </c>
      <c r="AD240" s="58">
        <f t="shared" si="340"/>
        <v>155</v>
      </c>
      <c r="AE240" s="58">
        <f t="shared" si="341"/>
        <v>161</v>
      </c>
      <c r="AF240" s="21">
        <f t="shared" si="316"/>
        <v>2.1</v>
      </c>
      <c r="AG240" s="77">
        <f t="shared" si="317"/>
        <v>0</v>
      </c>
      <c r="AH240" s="114">
        <f t="shared" si="311"/>
        <v>1</v>
      </c>
      <c r="AI240" s="59">
        <f t="shared" si="318"/>
        <v>116.08315434917664</v>
      </c>
      <c r="AJ240" s="59">
        <f t="shared" si="319"/>
        <v>109.85522728882621</v>
      </c>
      <c r="AK240" s="55"/>
      <c r="AL240" s="55"/>
      <c r="AM240" s="21">
        <f t="shared" si="342"/>
        <v>0</v>
      </c>
      <c r="AN240" s="54">
        <v>5.6</v>
      </c>
      <c r="AO240" s="55"/>
      <c r="AP240" s="21">
        <f t="shared" si="347"/>
        <v>0</v>
      </c>
      <c r="AQ240" s="55"/>
      <c r="AR240" s="55"/>
      <c r="AS240" s="21">
        <f t="shared" ref="AS240:AS271" si="355">AQ240*AR240*2/3</f>
        <v>0</v>
      </c>
      <c r="AT240" s="54"/>
      <c r="AU240" s="54"/>
      <c r="AV240" s="21">
        <f t="shared" ref="AV240:AV261" si="356">AT240*AU240*0.5</f>
        <v>0</v>
      </c>
      <c r="AW240" s="54"/>
      <c r="AX240" s="54"/>
      <c r="AY240" s="21">
        <f t="shared" ref="AY240:AY261" si="357">AW240*AX240*0.5</f>
        <v>0</v>
      </c>
      <c r="AZ240" s="54"/>
      <c r="BA240" s="54"/>
      <c r="BB240" s="21">
        <f t="shared" ref="BB240:BB261" si="358">AZ240*BA240*2/3</f>
        <v>0</v>
      </c>
      <c r="BC240" s="54"/>
      <c r="BD240" s="54"/>
      <c r="BE240" s="21">
        <f t="shared" ref="BE240:BE261" si="359">BC240*BD240*2/3</f>
        <v>0</v>
      </c>
      <c r="BF240" s="55"/>
      <c r="BG240" s="55"/>
      <c r="BH240" s="21">
        <f t="shared" ref="BH240:BH265" si="360">BF240*BG240*0.5</f>
        <v>0</v>
      </c>
      <c r="BI240" s="55"/>
      <c r="BJ240" s="55"/>
      <c r="BK240" s="21">
        <f t="shared" ref="BK240:BK265" si="361">BI240*BJ240*2/3</f>
        <v>0</v>
      </c>
      <c r="BL240" s="55"/>
      <c r="BM240" s="55"/>
      <c r="BN240" s="21">
        <f t="shared" ref="BN240:BN265" si="362">BL240*BM240*0.5</f>
        <v>0</v>
      </c>
      <c r="BO240" s="55"/>
      <c r="BP240" s="55"/>
      <c r="BQ240" s="21">
        <f t="shared" ref="BQ240:BQ265" si="363">BO240*BP240*0.5</f>
        <v>0</v>
      </c>
      <c r="BR240" s="55"/>
      <c r="BS240" s="21">
        <f t="shared" si="348"/>
        <v>0</v>
      </c>
      <c r="BT240" s="56">
        <v>0</v>
      </c>
      <c r="BU240" s="56"/>
      <c r="BV240" s="21">
        <f t="shared" ref="BV240:BV261" si="364">BT240*BU240*0.5</f>
        <v>0</v>
      </c>
      <c r="BW240" s="77">
        <f t="shared" si="323"/>
        <v>0</v>
      </c>
      <c r="BX240" s="55"/>
      <c r="BY240" s="21">
        <f t="shared" ref="BY240:BY261" si="365">BW240*BX240*2/3</f>
        <v>0</v>
      </c>
      <c r="BZ240" s="55"/>
      <c r="CA240" s="55"/>
      <c r="CB240" s="21">
        <f t="shared" ref="CB240:CB261" si="366">BZ240*CA240*2/3</f>
        <v>0</v>
      </c>
      <c r="CC240" s="55"/>
      <c r="CD240" s="55"/>
      <c r="CE240" s="21">
        <f t="shared" ref="CE240:CE261" si="367">CC240*CD240*2/3</f>
        <v>0</v>
      </c>
      <c r="CF240" s="21"/>
      <c r="CG240" s="21"/>
      <c r="CH240" s="21">
        <f t="shared" si="324"/>
        <v>0</v>
      </c>
      <c r="CI240" s="25">
        <f t="shared" si="312"/>
        <v>2.7</v>
      </c>
      <c r="CJ240" s="54"/>
      <c r="CK240" s="21">
        <f t="shared" si="349"/>
        <v>0</v>
      </c>
      <c r="CL240" s="55"/>
      <c r="CM240" s="55"/>
      <c r="CN240" s="60"/>
      <c r="CO240" s="55"/>
      <c r="CP240" s="55"/>
      <c r="CQ240" s="55"/>
      <c r="CR240" s="55"/>
      <c r="CS240" s="55"/>
      <c r="CT240" s="55"/>
      <c r="CU240" s="55"/>
      <c r="CV240" s="55"/>
      <c r="CW240" s="55"/>
      <c r="CX240" s="55"/>
      <c r="CY240" s="21">
        <f t="shared" si="343"/>
        <v>0</v>
      </c>
      <c r="CZ240" s="56"/>
      <c r="DA240" s="56"/>
      <c r="DB240" s="56"/>
      <c r="DC240" s="56"/>
      <c r="DD240" s="61">
        <f t="shared" si="313"/>
        <v>0</v>
      </c>
      <c r="DE240" s="21">
        <f t="shared" si="314"/>
        <v>0</v>
      </c>
      <c r="DF240" s="55">
        <v>8.3000000000000007</v>
      </c>
      <c r="DG240" s="55">
        <v>2.7</v>
      </c>
      <c r="DH240" s="55">
        <v>3.6</v>
      </c>
      <c r="DI240" s="55"/>
      <c r="DJ240" s="104"/>
      <c r="DK240" s="53"/>
      <c r="DM240" s="58">
        <f t="shared" si="273"/>
        <v>327.29736345599991</v>
      </c>
      <c r="DN240" s="58">
        <f t="shared" si="344"/>
        <v>305</v>
      </c>
      <c r="DO240" s="21">
        <f t="shared" si="345"/>
        <v>0.93187429553187506</v>
      </c>
      <c r="DP240" s="62">
        <f t="shared" si="332"/>
        <v>1.0077915054640982</v>
      </c>
      <c r="DQ240" s="7">
        <v>0</v>
      </c>
      <c r="DR240" s="107">
        <f t="shared" si="274"/>
        <v>0</v>
      </c>
    </row>
    <row r="241" spans="1:122" ht="12.75" customHeight="1" x14ac:dyDescent="0.2">
      <c r="A241" s="53" t="s">
        <v>430</v>
      </c>
      <c r="B241" s="54">
        <v>2</v>
      </c>
      <c r="C241" s="92">
        <f t="shared" si="351"/>
        <v>130.07647824844301</v>
      </c>
      <c r="D241" s="92">
        <f t="shared" si="352"/>
        <v>120.7854954047399</v>
      </c>
      <c r="E241" s="92">
        <f>VLOOKUP(A241,[3]TRTOTAL!$A$7:$D$313,3,FALSE)</f>
        <v>130.07647824844301</v>
      </c>
      <c r="F241" s="92">
        <f>VLOOKUP(A241,[3]TRTOTAL!$A$7:$D$313,4,FALSE)</f>
        <v>120.7854954047399</v>
      </c>
      <c r="G241" s="92">
        <f t="shared" si="307"/>
        <v>0</v>
      </c>
      <c r="H241" s="92">
        <f t="shared" si="308"/>
        <v>0</v>
      </c>
      <c r="I241" s="54">
        <v>4.3499999999999996</v>
      </c>
      <c r="J241" s="56">
        <v>4.3499999999999996</v>
      </c>
      <c r="K241" s="54">
        <v>2</v>
      </c>
      <c r="L241" s="57">
        <v>2</v>
      </c>
      <c r="M241" s="57">
        <v>80</v>
      </c>
      <c r="N241" s="57"/>
      <c r="O241" s="87"/>
      <c r="P241" s="24">
        <f t="shared" si="350"/>
        <v>8.3000000000000007</v>
      </c>
      <c r="Q241" s="24">
        <f t="shared" si="346"/>
        <v>5.6</v>
      </c>
      <c r="R241" s="24">
        <f t="shared" si="353"/>
        <v>2.7</v>
      </c>
      <c r="S241" s="87">
        <v>6</v>
      </c>
      <c r="T241" s="21">
        <f t="shared" si="335"/>
        <v>3.6</v>
      </c>
      <c r="U241" s="21"/>
      <c r="V241" s="24">
        <f t="shared" si="354"/>
        <v>1.68</v>
      </c>
      <c r="W241" s="24">
        <f t="shared" si="337"/>
        <v>1.8399999999999999</v>
      </c>
      <c r="X241" s="24">
        <f t="shared" si="338"/>
        <v>2.4515595463138005</v>
      </c>
      <c r="Y241" s="25">
        <f t="shared" si="315"/>
        <v>1</v>
      </c>
      <c r="Z241" s="24">
        <f t="shared" si="310"/>
        <v>7.2775572234695742</v>
      </c>
      <c r="AA241" s="21">
        <f t="shared" si="339"/>
        <v>0</v>
      </c>
      <c r="AB241" s="24">
        <f t="shared" si="322"/>
        <v>2.4300000000000002</v>
      </c>
      <c r="AC241" s="24">
        <f t="shared" si="331"/>
        <v>11.941657223469575</v>
      </c>
      <c r="AD241" s="58">
        <f t="shared" si="340"/>
        <v>220</v>
      </c>
      <c r="AE241" s="58">
        <f t="shared" si="341"/>
        <v>226</v>
      </c>
      <c r="AF241" s="21">
        <f t="shared" si="316"/>
        <v>2.5499999999999998</v>
      </c>
      <c r="AG241" s="77">
        <f t="shared" si="317"/>
        <v>0</v>
      </c>
      <c r="AH241" s="114">
        <f t="shared" si="311"/>
        <v>1</v>
      </c>
      <c r="AI241" s="59">
        <f t="shared" si="318"/>
        <v>130.07647824844301</v>
      </c>
      <c r="AJ241" s="59">
        <f t="shared" si="319"/>
        <v>120.7854954047399</v>
      </c>
      <c r="AK241" s="55"/>
      <c r="AL241" s="55"/>
      <c r="AM241" s="21">
        <f t="shared" si="342"/>
        <v>0</v>
      </c>
      <c r="AN241" s="54">
        <v>5.6</v>
      </c>
      <c r="AO241" s="55"/>
      <c r="AP241" s="21">
        <f t="shared" si="347"/>
        <v>0</v>
      </c>
      <c r="AQ241" s="55"/>
      <c r="AR241" s="55"/>
      <c r="AS241" s="21">
        <f t="shared" si="355"/>
        <v>0</v>
      </c>
      <c r="AT241" s="54"/>
      <c r="AU241" s="54"/>
      <c r="AV241" s="21">
        <f t="shared" si="356"/>
        <v>0</v>
      </c>
      <c r="AW241" s="54"/>
      <c r="AX241" s="54"/>
      <c r="AY241" s="21">
        <f t="shared" si="357"/>
        <v>0</v>
      </c>
      <c r="AZ241" s="54"/>
      <c r="BA241" s="54"/>
      <c r="BB241" s="21">
        <f t="shared" si="358"/>
        <v>0</v>
      </c>
      <c r="BC241" s="54"/>
      <c r="BD241" s="54"/>
      <c r="BE241" s="21">
        <f t="shared" si="359"/>
        <v>0</v>
      </c>
      <c r="BF241" s="55"/>
      <c r="BG241" s="55"/>
      <c r="BH241" s="21">
        <f t="shared" si="360"/>
        <v>0</v>
      </c>
      <c r="BI241" s="55"/>
      <c r="BJ241" s="55"/>
      <c r="BK241" s="21">
        <f t="shared" si="361"/>
        <v>0</v>
      </c>
      <c r="BL241" s="55"/>
      <c r="BM241" s="55"/>
      <c r="BN241" s="21">
        <f t="shared" si="362"/>
        <v>0</v>
      </c>
      <c r="BO241" s="55"/>
      <c r="BP241" s="55"/>
      <c r="BQ241" s="21">
        <f t="shared" si="363"/>
        <v>0</v>
      </c>
      <c r="BR241" s="55"/>
      <c r="BS241" s="21">
        <f t="shared" si="348"/>
        <v>0</v>
      </c>
      <c r="BT241" s="56">
        <v>0</v>
      </c>
      <c r="BU241" s="56"/>
      <c r="BV241" s="21">
        <f t="shared" si="364"/>
        <v>0</v>
      </c>
      <c r="BW241" s="77">
        <f t="shared" si="323"/>
        <v>0</v>
      </c>
      <c r="BX241" s="55"/>
      <c r="BY241" s="21">
        <f t="shared" si="365"/>
        <v>0</v>
      </c>
      <c r="BZ241" s="55"/>
      <c r="CA241" s="55"/>
      <c r="CB241" s="21">
        <f t="shared" si="366"/>
        <v>0</v>
      </c>
      <c r="CC241" s="55"/>
      <c r="CD241" s="55"/>
      <c r="CE241" s="21">
        <f t="shared" si="367"/>
        <v>0</v>
      </c>
      <c r="CF241" s="21"/>
      <c r="CG241" s="21"/>
      <c r="CH241" s="21">
        <f t="shared" si="324"/>
        <v>0</v>
      </c>
      <c r="CI241" s="25">
        <f t="shared" si="312"/>
        <v>2.7</v>
      </c>
      <c r="CJ241" s="54"/>
      <c r="CK241" s="21">
        <f t="shared" si="349"/>
        <v>0</v>
      </c>
      <c r="CL241" s="55"/>
      <c r="CM241" s="55"/>
      <c r="CN241" s="60"/>
      <c r="CO241" s="55"/>
      <c r="CP241" s="55"/>
      <c r="CQ241" s="55"/>
      <c r="CR241" s="55"/>
      <c r="CS241" s="55"/>
      <c r="CT241" s="55"/>
      <c r="CU241" s="55"/>
      <c r="CV241" s="55"/>
      <c r="CW241" s="55"/>
      <c r="CX241" s="55"/>
      <c r="CY241" s="21">
        <f t="shared" si="343"/>
        <v>0</v>
      </c>
      <c r="CZ241" s="56"/>
      <c r="DA241" s="56"/>
      <c r="DB241" s="56"/>
      <c r="DC241" s="56"/>
      <c r="DD241" s="61">
        <f t="shared" si="313"/>
        <v>0</v>
      </c>
      <c r="DE241" s="21">
        <f t="shared" si="314"/>
        <v>0</v>
      </c>
      <c r="DF241" s="55">
        <v>8.3000000000000007</v>
      </c>
      <c r="DG241" s="55">
        <v>2.7</v>
      </c>
      <c r="DH241" s="55">
        <v>3.6</v>
      </c>
      <c r="DI241" s="55"/>
      <c r="DJ241" s="104"/>
      <c r="DK241" s="53"/>
      <c r="DM241" s="58">
        <f t="shared" si="273"/>
        <v>327.29736345599991</v>
      </c>
      <c r="DN241" s="58">
        <f t="shared" si="344"/>
        <v>500</v>
      </c>
      <c r="DO241" s="21">
        <f t="shared" si="345"/>
        <v>1.5276627795604509</v>
      </c>
      <c r="DP241" s="62">
        <f t="shared" si="332"/>
        <v>1</v>
      </c>
      <c r="DQ241" s="7">
        <v>0</v>
      </c>
      <c r="DR241" s="107">
        <f t="shared" si="274"/>
        <v>0</v>
      </c>
    </row>
    <row r="242" spans="1:122" ht="12.75" customHeight="1" x14ac:dyDescent="0.2">
      <c r="A242" s="53" t="s">
        <v>431</v>
      </c>
      <c r="B242" s="54">
        <v>2</v>
      </c>
      <c r="C242" s="92">
        <f t="shared" si="351"/>
        <v>107.7520364517282</v>
      </c>
      <c r="D242" s="92">
        <f t="shared" si="352"/>
        <v>103.30832264750589</v>
      </c>
      <c r="E242" s="92">
        <f>VLOOKUP(A242,[3]TRTOTAL!$A$7:$D$313,3,FALSE)</f>
        <v>107.7520364517282</v>
      </c>
      <c r="F242" s="92">
        <f>VLOOKUP(A242,[3]TRTOTAL!$A$7:$D$313,4,FALSE)</f>
        <v>103.30832264750589</v>
      </c>
      <c r="G242" s="92">
        <f t="shared" si="307"/>
        <v>0</v>
      </c>
      <c r="H242" s="92">
        <f t="shared" si="308"/>
        <v>0</v>
      </c>
      <c r="I242" s="54">
        <v>4.97</v>
      </c>
      <c r="J242" s="56">
        <v>4.97</v>
      </c>
      <c r="K242" s="54">
        <v>2.52</v>
      </c>
      <c r="L242" s="57">
        <v>2</v>
      </c>
      <c r="M242" s="57"/>
      <c r="N242" s="57">
        <v>139.5</v>
      </c>
      <c r="O242" s="87"/>
      <c r="P242" s="24">
        <f t="shared" si="350"/>
        <v>15.498816666666666</v>
      </c>
      <c r="Q242" s="24">
        <f t="shared" si="346"/>
        <v>7.91</v>
      </c>
      <c r="R242" s="24">
        <f t="shared" si="353"/>
        <v>4.5205333333333328</v>
      </c>
      <c r="S242" s="87">
        <v>8.5</v>
      </c>
      <c r="T242" s="21">
        <f t="shared" si="335"/>
        <v>5.5741999999999994</v>
      </c>
      <c r="U242" s="21"/>
      <c r="V242" s="24">
        <f t="shared" si="354"/>
        <v>2.33</v>
      </c>
      <c r="W242" s="24">
        <f t="shared" si="337"/>
        <v>2.4849999999999999</v>
      </c>
      <c r="X242" s="24">
        <f t="shared" si="338"/>
        <v>2.5098383729607696</v>
      </c>
      <c r="Y242" s="25">
        <f t="shared" si="315"/>
        <v>1</v>
      </c>
      <c r="Z242" s="24">
        <f t="shared" si="310"/>
        <v>13.685701718874302</v>
      </c>
      <c r="AA242" s="21">
        <f t="shared" si="339"/>
        <v>2.1800411522633745</v>
      </c>
      <c r="AB242" s="24">
        <f t="shared" si="322"/>
        <v>4.112080234131434</v>
      </c>
      <c r="AC242" s="24">
        <f t="shared" si="331"/>
        <v>20.113211522568648</v>
      </c>
      <c r="AD242" s="58">
        <f t="shared" si="340"/>
        <v>283.5</v>
      </c>
      <c r="AE242" s="58">
        <f t="shared" si="341"/>
        <v>289.5</v>
      </c>
      <c r="AF242" s="21">
        <f t="shared" si="316"/>
        <v>2.85</v>
      </c>
      <c r="AG242" s="77">
        <f t="shared" si="317"/>
        <v>0</v>
      </c>
      <c r="AH242" s="114">
        <f t="shared" si="311"/>
        <v>1</v>
      </c>
      <c r="AI242" s="59">
        <f t="shared" si="318"/>
        <v>106.49485728173373</v>
      </c>
      <c r="AJ242" s="59">
        <f t="shared" si="319"/>
        <v>102.10298977773969</v>
      </c>
      <c r="AK242" s="55">
        <v>7.91</v>
      </c>
      <c r="AL242" s="55">
        <v>2.33</v>
      </c>
      <c r="AM242" s="21">
        <f t="shared" si="342"/>
        <v>9.2151500000000013</v>
      </c>
      <c r="AN242" s="54">
        <v>7.91</v>
      </c>
      <c r="AO242" s="55">
        <v>0.14000000000000001</v>
      </c>
      <c r="AP242" s="21">
        <f t="shared" si="347"/>
        <v>0.73826666666666674</v>
      </c>
      <c r="AQ242" s="55">
        <v>2.4500000000000002</v>
      </c>
      <c r="AR242" s="55"/>
      <c r="AS242" s="21">
        <f t="shared" si="355"/>
        <v>0</v>
      </c>
      <c r="AT242" s="54">
        <v>7.51</v>
      </c>
      <c r="AU242" s="54">
        <v>0.66</v>
      </c>
      <c r="AV242" s="21">
        <f t="shared" si="356"/>
        <v>2.4782999999999999</v>
      </c>
      <c r="AW242" s="54"/>
      <c r="AX242" s="54"/>
      <c r="AY242" s="21">
        <f t="shared" si="357"/>
        <v>0</v>
      </c>
      <c r="AZ242" s="54">
        <v>7.29</v>
      </c>
      <c r="BA242" s="54">
        <v>0.36</v>
      </c>
      <c r="BB242" s="21">
        <f t="shared" si="358"/>
        <v>1.7496</v>
      </c>
      <c r="BC242" s="54"/>
      <c r="BD242" s="54"/>
      <c r="BE242" s="21">
        <f t="shared" si="359"/>
        <v>0</v>
      </c>
      <c r="BF242" s="55"/>
      <c r="BG242" s="55"/>
      <c r="BH242" s="21">
        <f t="shared" si="360"/>
        <v>0</v>
      </c>
      <c r="BI242" s="55"/>
      <c r="BJ242" s="55"/>
      <c r="BK242" s="21">
        <f t="shared" si="361"/>
        <v>0</v>
      </c>
      <c r="BL242" s="55"/>
      <c r="BM242" s="55"/>
      <c r="BN242" s="21">
        <f t="shared" si="362"/>
        <v>0</v>
      </c>
      <c r="BO242" s="55"/>
      <c r="BP242" s="55"/>
      <c r="BQ242" s="21">
        <f t="shared" si="363"/>
        <v>0</v>
      </c>
      <c r="BR242" s="55"/>
      <c r="BS242" s="21">
        <f t="shared" si="348"/>
        <v>14.181316666666667</v>
      </c>
      <c r="BT242" s="56">
        <v>5.93</v>
      </c>
      <c r="BU242" s="56">
        <v>1.44</v>
      </c>
      <c r="BV242" s="21">
        <f t="shared" si="364"/>
        <v>4.2695999999999996</v>
      </c>
      <c r="BW242" s="77">
        <f t="shared" si="323"/>
        <v>5.93</v>
      </c>
      <c r="BX242" s="55"/>
      <c r="BY242" s="21">
        <f t="shared" si="365"/>
        <v>0</v>
      </c>
      <c r="BZ242" s="55">
        <v>1.55</v>
      </c>
      <c r="CA242" s="55">
        <v>0.04</v>
      </c>
      <c r="CB242" s="21">
        <f t="shared" si="366"/>
        <v>4.133333333333334E-2</v>
      </c>
      <c r="CC242" s="54">
        <v>5.24</v>
      </c>
      <c r="CD242" s="54">
        <v>0.06</v>
      </c>
      <c r="CE242" s="21">
        <f t="shared" si="367"/>
        <v>0.20960000000000001</v>
      </c>
      <c r="CF242" s="21"/>
      <c r="CG242" s="21"/>
      <c r="CH242" s="21">
        <f t="shared" si="324"/>
        <v>0</v>
      </c>
      <c r="CI242" s="25">
        <f t="shared" si="312"/>
        <v>4.5205333333333328</v>
      </c>
      <c r="CJ242" s="54">
        <v>0.31</v>
      </c>
      <c r="CK242" s="21">
        <f t="shared" si="349"/>
        <v>1.3174999999999999</v>
      </c>
      <c r="CL242" s="55"/>
      <c r="CM242" s="55"/>
      <c r="CN242" s="31">
        <v>38141</v>
      </c>
      <c r="CO242" s="30" t="s">
        <v>137</v>
      </c>
      <c r="CP242" s="55"/>
      <c r="CQ242" s="55"/>
      <c r="CR242" s="55"/>
      <c r="CS242" s="55"/>
      <c r="CT242" s="55"/>
      <c r="CU242" s="55"/>
      <c r="CV242" s="55"/>
      <c r="CW242" s="55"/>
      <c r="CX242" s="55"/>
      <c r="CY242" s="21">
        <f t="shared" si="343"/>
        <v>0</v>
      </c>
      <c r="CZ242" s="56"/>
      <c r="DA242" s="56"/>
      <c r="DB242" s="56"/>
      <c r="DC242" s="56"/>
      <c r="DD242" s="61">
        <f t="shared" si="313"/>
        <v>0</v>
      </c>
      <c r="DE242" s="21">
        <f t="shared" si="314"/>
        <v>19</v>
      </c>
      <c r="DF242" s="55"/>
      <c r="DG242" s="55"/>
      <c r="DH242" s="55"/>
      <c r="DI242" s="55">
        <v>19</v>
      </c>
      <c r="DJ242" s="104"/>
      <c r="DK242" s="53" t="s">
        <v>518</v>
      </c>
      <c r="DM242" s="58">
        <f t="shared" si="273"/>
        <v>774.59602805279383</v>
      </c>
      <c r="DN242" s="58">
        <f t="shared" si="344"/>
        <v>696.21</v>
      </c>
      <c r="DO242" s="21">
        <f t="shared" si="345"/>
        <v>0.89880398915826709</v>
      </c>
      <c r="DP242" s="62">
        <f t="shared" si="332"/>
        <v>1.011805069297089</v>
      </c>
      <c r="DQ242" s="7" t="s">
        <v>130</v>
      </c>
      <c r="DR242" s="107">
        <f t="shared" si="274"/>
        <v>0</v>
      </c>
    </row>
    <row r="243" spans="1:122" ht="12.75" customHeight="1" x14ac:dyDescent="0.2">
      <c r="A243" s="53" t="s">
        <v>558</v>
      </c>
      <c r="B243" s="54">
        <v>1</v>
      </c>
      <c r="C243" s="92">
        <f t="shared" si="351"/>
        <v>111.96823706009488</v>
      </c>
      <c r="D243" s="92">
        <f t="shared" si="352"/>
        <v>106.20413506482829</v>
      </c>
      <c r="E243" s="92">
        <f>VLOOKUP(A243,[3]TRTOTAL!$A$7:$D$313,3,FALSE)</f>
        <v>111.96823706009488</v>
      </c>
      <c r="F243" s="92">
        <f>VLOOKUP(A243,[3]TRTOTAL!$A$7:$D$313,4,FALSE)</f>
        <v>106.20413506482829</v>
      </c>
      <c r="G243" s="92">
        <f t="shared" si="307"/>
        <v>0</v>
      </c>
      <c r="H243" s="92">
        <f t="shared" si="308"/>
        <v>0</v>
      </c>
      <c r="I243" s="54">
        <v>4.97</v>
      </c>
      <c r="J243" s="56">
        <v>4.97</v>
      </c>
      <c r="K243" s="54">
        <v>2.52</v>
      </c>
      <c r="L243" s="57">
        <v>1</v>
      </c>
      <c r="M243" s="57"/>
      <c r="N243" s="57">
        <v>139.5</v>
      </c>
      <c r="O243" s="87"/>
      <c r="P243" s="24">
        <f t="shared" si="350"/>
        <v>15.498816666666666</v>
      </c>
      <c r="Q243" s="24">
        <f t="shared" si="346"/>
        <v>7.91</v>
      </c>
      <c r="R243" s="24">
        <f t="shared" si="353"/>
        <v>0</v>
      </c>
      <c r="S243" s="87">
        <v>8.5</v>
      </c>
      <c r="T243" s="21">
        <f t="shared" si="335"/>
        <v>0</v>
      </c>
      <c r="U243" s="21"/>
      <c r="V243" s="24">
        <f t="shared" si="354"/>
        <v>2.33</v>
      </c>
      <c r="W243" s="24">
        <f t="shared" si="337"/>
        <v>2.4849999999999999</v>
      </c>
      <c r="X243" s="24">
        <f t="shared" si="338"/>
        <v>2.5098383729607696</v>
      </c>
      <c r="Y243" s="25">
        <f t="shared" si="315"/>
        <v>1</v>
      </c>
      <c r="Z243" s="24">
        <f t="shared" si="310"/>
        <v>13.685701718874302</v>
      </c>
      <c r="AA243" s="21">
        <f t="shared" si="339"/>
        <v>0</v>
      </c>
      <c r="AB243" s="24">
        <f t="shared" si="322"/>
        <v>0</v>
      </c>
      <c r="AC243" s="24">
        <f t="shared" si="331"/>
        <v>16.385701718874301</v>
      </c>
      <c r="AD243" s="58">
        <f t="shared" si="340"/>
        <v>208.5</v>
      </c>
      <c r="AE243" s="58">
        <f t="shared" si="341"/>
        <v>214.5</v>
      </c>
      <c r="AF243" s="21">
        <f t="shared" si="316"/>
        <v>2.6999999999999997</v>
      </c>
      <c r="AG243" s="77">
        <f t="shared" si="317"/>
        <v>0</v>
      </c>
      <c r="AH243" s="114">
        <f t="shared" si="311"/>
        <v>1</v>
      </c>
      <c r="AI243" s="59">
        <f t="shared" si="318"/>
        <v>107.05276383940163</v>
      </c>
      <c r="AJ243" s="59">
        <f t="shared" si="319"/>
        <v>100.53634594303917</v>
      </c>
      <c r="AK243" s="55">
        <v>7.91</v>
      </c>
      <c r="AL243" s="55">
        <v>2.33</v>
      </c>
      <c r="AM243" s="21">
        <f t="shared" si="342"/>
        <v>9.2151500000000013</v>
      </c>
      <c r="AN243" s="54">
        <v>7.91</v>
      </c>
      <c r="AO243" s="55">
        <v>0.14000000000000001</v>
      </c>
      <c r="AP243" s="21">
        <f t="shared" si="347"/>
        <v>0.73826666666666674</v>
      </c>
      <c r="AQ243" s="55">
        <v>2.4500000000000002</v>
      </c>
      <c r="AR243" s="55"/>
      <c r="AS243" s="21">
        <f t="shared" si="355"/>
        <v>0</v>
      </c>
      <c r="AT243" s="54">
        <v>7.51</v>
      </c>
      <c r="AU243" s="54">
        <v>0.66</v>
      </c>
      <c r="AV243" s="21">
        <f t="shared" si="356"/>
        <v>2.4782999999999999</v>
      </c>
      <c r="AW243" s="54"/>
      <c r="AX243" s="54"/>
      <c r="AY243" s="21">
        <f t="shared" si="357"/>
        <v>0</v>
      </c>
      <c r="AZ243" s="54">
        <v>7.29</v>
      </c>
      <c r="BA243" s="54">
        <v>0.36</v>
      </c>
      <c r="BB243" s="21">
        <f t="shared" si="358"/>
        <v>1.7496</v>
      </c>
      <c r="BC243" s="54"/>
      <c r="BD243" s="54"/>
      <c r="BE243" s="21">
        <f t="shared" si="359"/>
        <v>0</v>
      </c>
      <c r="BF243" s="55"/>
      <c r="BG243" s="55"/>
      <c r="BH243" s="21">
        <f t="shared" si="360"/>
        <v>0</v>
      </c>
      <c r="BI243" s="55"/>
      <c r="BJ243" s="55"/>
      <c r="BK243" s="21">
        <f t="shared" si="361"/>
        <v>0</v>
      </c>
      <c r="BL243" s="55"/>
      <c r="BM243" s="55"/>
      <c r="BN243" s="21">
        <f t="shared" si="362"/>
        <v>0</v>
      </c>
      <c r="BO243" s="55"/>
      <c r="BP243" s="55"/>
      <c r="BQ243" s="21">
        <f t="shared" si="363"/>
        <v>0</v>
      </c>
      <c r="BR243" s="55"/>
      <c r="BS243" s="21">
        <f t="shared" si="348"/>
        <v>14.181316666666667</v>
      </c>
      <c r="BT243" s="56"/>
      <c r="BU243" s="56"/>
      <c r="BV243" s="21">
        <f t="shared" si="364"/>
        <v>0</v>
      </c>
      <c r="BW243" s="77">
        <f t="shared" si="323"/>
        <v>0</v>
      </c>
      <c r="BX243" s="55"/>
      <c r="BY243" s="21">
        <f t="shared" si="365"/>
        <v>0</v>
      </c>
      <c r="BZ243" s="55"/>
      <c r="CA243" s="55"/>
      <c r="CB243" s="21">
        <f t="shared" si="366"/>
        <v>0</v>
      </c>
      <c r="CC243" s="54"/>
      <c r="CD243" s="54"/>
      <c r="CE243" s="21">
        <f t="shared" si="367"/>
        <v>0</v>
      </c>
      <c r="CF243" s="21"/>
      <c r="CG243" s="21"/>
      <c r="CH243" s="21">
        <f t="shared" si="324"/>
        <v>0</v>
      </c>
      <c r="CI243" s="25">
        <f t="shared" si="312"/>
        <v>0</v>
      </c>
      <c r="CJ243" s="54">
        <v>0.31</v>
      </c>
      <c r="CK243" s="21">
        <f t="shared" si="349"/>
        <v>1.3174999999999999</v>
      </c>
      <c r="CL243" s="55"/>
      <c r="CM243" s="55"/>
      <c r="CN243" s="31">
        <v>38141</v>
      </c>
      <c r="CO243" s="30" t="s">
        <v>137</v>
      </c>
      <c r="CP243" s="55"/>
      <c r="CQ243" s="55"/>
      <c r="CR243" s="55"/>
      <c r="CS243" s="55"/>
      <c r="CT243" s="55"/>
      <c r="CU243" s="55"/>
      <c r="CV243" s="55"/>
      <c r="CW243" s="55"/>
      <c r="CX243" s="55"/>
      <c r="CY243" s="21">
        <f t="shared" si="343"/>
        <v>0</v>
      </c>
      <c r="CZ243" s="56"/>
      <c r="DA243" s="56"/>
      <c r="DB243" s="56"/>
      <c r="DC243" s="56"/>
      <c r="DD243" s="61">
        <f t="shared" si="313"/>
        <v>0</v>
      </c>
      <c r="DE243" s="21">
        <f t="shared" si="314"/>
        <v>18</v>
      </c>
      <c r="DF243" s="55"/>
      <c r="DG243" s="55"/>
      <c r="DH243" s="55"/>
      <c r="DI243" s="55">
        <v>18</v>
      </c>
      <c r="DJ243" s="104"/>
      <c r="DK243" s="53" t="s">
        <v>518</v>
      </c>
      <c r="DM243" s="58">
        <f t="shared" si="273"/>
        <v>650.03967781392646</v>
      </c>
      <c r="DN243" s="58">
        <f t="shared" si="344"/>
        <v>432.21000000000004</v>
      </c>
      <c r="DO243" s="21">
        <f t="shared" si="345"/>
        <v>0.66489787431671199</v>
      </c>
      <c r="DP243" s="62">
        <f t="shared" si="332"/>
        <v>1.0459163597874721</v>
      </c>
      <c r="DQ243" s="7" t="s">
        <v>130</v>
      </c>
      <c r="DR243" s="107">
        <f t="shared" si="274"/>
        <v>0</v>
      </c>
    </row>
    <row r="244" spans="1:122" ht="12.75" customHeight="1" x14ac:dyDescent="0.2">
      <c r="A244" s="53" t="s">
        <v>432</v>
      </c>
      <c r="B244" s="54">
        <v>2</v>
      </c>
      <c r="C244" s="92">
        <f t="shared" si="351"/>
        <v>106.53297043098431</v>
      </c>
      <c r="D244" s="92">
        <f t="shared" si="352"/>
        <v>102.28008447763678</v>
      </c>
      <c r="E244" s="92">
        <f>VLOOKUP(A244,[3]TRTOTAL!$A$7:$D$313,3,FALSE)</f>
        <v>106.53297043098431</v>
      </c>
      <c r="F244" s="92">
        <f>VLOOKUP(A244,[3]TRTOTAL!$A$7:$D$313,4,FALSE)</f>
        <v>102.28008447763678</v>
      </c>
      <c r="G244" s="92">
        <f t="shared" si="307"/>
        <v>0</v>
      </c>
      <c r="H244" s="92">
        <f t="shared" si="308"/>
        <v>0</v>
      </c>
      <c r="I244" s="54">
        <v>4.97</v>
      </c>
      <c r="J244" s="56">
        <v>4.97</v>
      </c>
      <c r="K244" s="54">
        <v>2.52</v>
      </c>
      <c r="L244" s="57">
        <v>2</v>
      </c>
      <c r="M244" s="57"/>
      <c r="N244" s="57">
        <v>139.5</v>
      </c>
      <c r="O244" s="87"/>
      <c r="P244" s="24">
        <f t="shared" si="350"/>
        <v>15.621465166666667</v>
      </c>
      <c r="Q244" s="24">
        <f t="shared" si="346"/>
        <v>7.91</v>
      </c>
      <c r="R244" s="24">
        <f t="shared" si="353"/>
        <v>4.5205333333333328</v>
      </c>
      <c r="S244" s="87">
        <v>8.5</v>
      </c>
      <c r="T244" s="21">
        <f t="shared" si="335"/>
        <v>5.5741999999999994</v>
      </c>
      <c r="U244" s="21"/>
      <c r="V244" s="24">
        <f t="shared" si="354"/>
        <v>2.2130000000000001</v>
      </c>
      <c r="W244" s="24">
        <f t="shared" si="337"/>
        <v>2.3679999999999999</v>
      </c>
      <c r="X244" s="24">
        <f t="shared" si="338"/>
        <v>2.7858541046060847</v>
      </c>
      <c r="Y244" s="25">
        <f t="shared" si="315"/>
        <v>1</v>
      </c>
      <c r="Z244" s="24">
        <f t="shared" si="310"/>
        <v>14.232594564613104</v>
      </c>
      <c r="AA244" s="21">
        <f t="shared" si="339"/>
        <v>2.1800411522633745</v>
      </c>
      <c r="AB244" s="24">
        <f t="shared" si="322"/>
        <v>4.112080234131434</v>
      </c>
      <c r="AC244" s="24">
        <f t="shared" si="331"/>
        <v>20.660104368307451</v>
      </c>
      <c r="AD244" s="58">
        <f t="shared" si="340"/>
        <v>283.5</v>
      </c>
      <c r="AE244" s="58">
        <f t="shared" si="341"/>
        <v>289.5</v>
      </c>
      <c r="AF244" s="21">
        <f t="shared" si="316"/>
        <v>2.85</v>
      </c>
      <c r="AG244" s="77">
        <f t="shared" si="317"/>
        <v>0</v>
      </c>
      <c r="AH244" s="114">
        <f t="shared" si="311"/>
        <v>1</v>
      </c>
      <c r="AI244" s="59">
        <f t="shared" si="318"/>
        <v>105.21338218946488</v>
      </c>
      <c r="AJ244" s="59">
        <f t="shared" si="319"/>
        <v>101.01317531071609</v>
      </c>
      <c r="AK244" s="55">
        <v>7.9</v>
      </c>
      <c r="AL244" s="55">
        <v>2.2130000000000001</v>
      </c>
      <c r="AM244" s="21">
        <f t="shared" si="342"/>
        <v>8.7413500000000006</v>
      </c>
      <c r="AN244" s="54">
        <v>7.91</v>
      </c>
      <c r="AO244" s="55">
        <v>0.16400000000000001</v>
      </c>
      <c r="AP244" s="21">
        <f t="shared" si="347"/>
        <v>0.86482666666666674</v>
      </c>
      <c r="AQ244" s="55">
        <v>2.2839999999999998</v>
      </c>
      <c r="AR244" s="55">
        <v>0</v>
      </c>
      <c r="AS244" s="21">
        <f t="shared" si="355"/>
        <v>0</v>
      </c>
      <c r="AT244" s="54">
        <v>7.6449999999999996</v>
      </c>
      <c r="AU244" s="54">
        <v>0.71099999999999997</v>
      </c>
      <c r="AV244" s="21">
        <f t="shared" si="356"/>
        <v>2.7177974999999996</v>
      </c>
      <c r="AW244" s="54">
        <v>3.8719999999999999</v>
      </c>
      <c r="AX244" s="54">
        <v>0.58799999999999997</v>
      </c>
      <c r="AY244" s="21">
        <f t="shared" si="357"/>
        <v>1.1383679999999998</v>
      </c>
      <c r="AZ244" s="54">
        <v>3.895</v>
      </c>
      <c r="BA244" s="54">
        <v>2.5999999999999999E-2</v>
      </c>
      <c r="BB244" s="21">
        <f t="shared" si="358"/>
        <v>6.7513333333333328E-2</v>
      </c>
      <c r="BC244" s="54">
        <v>2.028</v>
      </c>
      <c r="BD244" s="54">
        <v>1.7999999999999999E-2</v>
      </c>
      <c r="BE244" s="21">
        <f t="shared" si="359"/>
        <v>2.4335999999999997E-2</v>
      </c>
      <c r="BF244" s="55">
        <v>2.0179999999999998</v>
      </c>
      <c r="BG244" s="55">
        <v>0.72299999999999998</v>
      </c>
      <c r="BH244" s="21">
        <f t="shared" si="360"/>
        <v>0.72950699999999991</v>
      </c>
      <c r="BI244" s="55">
        <v>1.52</v>
      </c>
      <c r="BJ244" s="55">
        <v>0.02</v>
      </c>
      <c r="BK244" s="21">
        <f t="shared" si="361"/>
        <v>2.0266666666666665E-2</v>
      </c>
      <c r="BL244" s="55"/>
      <c r="BM244" s="55"/>
      <c r="BN244" s="21">
        <f t="shared" si="362"/>
        <v>0</v>
      </c>
      <c r="BO244" s="55"/>
      <c r="BP244" s="55"/>
      <c r="BQ244" s="21">
        <f t="shared" si="363"/>
        <v>0</v>
      </c>
      <c r="BR244" s="55"/>
      <c r="BS244" s="21">
        <f t="shared" si="348"/>
        <v>14.303965166666668</v>
      </c>
      <c r="BT244" s="56">
        <v>5.93</v>
      </c>
      <c r="BU244" s="56">
        <v>1.44</v>
      </c>
      <c r="BV244" s="21">
        <f t="shared" si="364"/>
        <v>4.2695999999999996</v>
      </c>
      <c r="BW244" s="77">
        <f t="shared" si="323"/>
        <v>5.93</v>
      </c>
      <c r="BX244" s="55"/>
      <c r="BY244" s="21">
        <f t="shared" si="365"/>
        <v>0</v>
      </c>
      <c r="BZ244" s="55">
        <v>1.55</v>
      </c>
      <c r="CA244" s="55">
        <v>0.04</v>
      </c>
      <c r="CB244" s="21">
        <f t="shared" si="366"/>
        <v>4.133333333333334E-2</v>
      </c>
      <c r="CC244" s="54">
        <v>5.24</v>
      </c>
      <c r="CD244" s="54">
        <v>0.06</v>
      </c>
      <c r="CE244" s="21">
        <f t="shared" si="367"/>
        <v>0.20960000000000001</v>
      </c>
      <c r="CF244" s="21"/>
      <c r="CG244" s="21"/>
      <c r="CH244" s="21">
        <f t="shared" si="324"/>
        <v>0</v>
      </c>
      <c r="CI244" s="25">
        <f t="shared" si="312"/>
        <v>4.5205333333333328</v>
      </c>
      <c r="CJ244" s="54">
        <v>0.31</v>
      </c>
      <c r="CK244" s="21">
        <f t="shared" si="349"/>
        <v>1.3174999999999999</v>
      </c>
      <c r="CL244" s="55"/>
      <c r="CM244" s="55" t="s">
        <v>433</v>
      </c>
      <c r="CN244" s="31">
        <v>38141</v>
      </c>
      <c r="CO244" s="30" t="s">
        <v>434</v>
      </c>
      <c r="CP244" s="55"/>
      <c r="CQ244" s="55"/>
      <c r="CR244" s="55"/>
      <c r="CS244" s="55"/>
      <c r="CT244" s="55"/>
      <c r="CU244" s="55"/>
      <c r="CV244" s="55"/>
      <c r="CW244" s="55"/>
      <c r="CX244" s="55"/>
      <c r="CY244" s="21">
        <f t="shared" si="343"/>
        <v>0</v>
      </c>
      <c r="CZ244" s="56"/>
      <c r="DA244" s="56"/>
      <c r="DB244" s="56"/>
      <c r="DC244" s="56"/>
      <c r="DD244" s="61">
        <f t="shared" si="313"/>
        <v>0</v>
      </c>
      <c r="DE244" s="21">
        <f t="shared" si="314"/>
        <v>19</v>
      </c>
      <c r="DF244" s="55"/>
      <c r="DG244" s="55"/>
      <c r="DH244" s="55"/>
      <c r="DI244" s="55">
        <v>19</v>
      </c>
      <c r="DJ244" s="104"/>
      <c r="DK244" s="53" t="s">
        <v>519</v>
      </c>
      <c r="DM244" s="58">
        <f t="shared" si="273"/>
        <v>779.74005892553964</v>
      </c>
      <c r="DN244" s="58">
        <f t="shared" si="344"/>
        <v>696.21</v>
      </c>
      <c r="DO244" s="21">
        <f t="shared" si="345"/>
        <v>0.89287448045103424</v>
      </c>
      <c r="DP244" s="62">
        <f t="shared" si="332"/>
        <v>1.0125420190289403</v>
      </c>
      <c r="DQ244" s="7" t="s">
        <v>130</v>
      </c>
      <c r="DR244" s="107">
        <f t="shared" si="274"/>
        <v>0</v>
      </c>
    </row>
    <row r="245" spans="1:122" ht="12.75" customHeight="1" x14ac:dyDescent="0.2">
      <c r="A245" s="53" t="s">
        <v>435</v>
      </c>
      <c r="B245" s="54">
        <v>2</v>
      </c>
      <c r="C245" s="92">
        <f t="shared" si="351"/>
        <v>106.79148956323066</v>
      </c>
      <c r="D245" s="92">
        <f t="shared" si="352"/>
        <v>102.57000160748831</v>
      </c>
      <c r="E245" s="92">
        <f>VLOOKUP(A245,[3]TRTOTAL!$A$7:$D$313,3,FALSE)</f>
        <v>107.47590747441842</v>
      </c>
      <c r="F245" s="92">
        <f>VLOOKUP(A245,[3]TRTOTAL!$A$7:$D$313,4,FALSE)</f>
        <v>103.11804998221032</v>
      </c>
      <c r="G245" s="92"/>
      <c r="H245" s="92"/>
      <c r="I245" s="54">
        <v>5</v>
      </c>
      <c r="J245" s="56">
        <v>5</v>
      </c>
      <c r="K245" s="54">
        <v>2.5</v>
      </c>
      <c r="L245" s="57">
        <v>2</v>
      </c>
      <c r="M245" s="57"/>
      <c r="N245" s="57">
        <v>123</v>
      </c>
      <c r="O245" s="87"/>
      <c r="P245" s="24">
        <f t="shared" si="350"/>
        <v>15</v>
      </c>
      <c r="Q245" s="24">
        <f t="shared" si="346"/>
        <v>8.48</v>
      </c>
      <c r="R245" s="24">
        <f t="shared" si="353"/>
        <v>3.7</v>
      </c>
      <c r="S245" s="87">
        <v>8.5</v>
      </c>
      <c r="T245" s="21">
        <f>IF(gs_1,gs_1*0.94,VlgNoDetails)</f>
        <v>5.64</v>
      </c>
      <c r="U245" s="108"/>
      <c r="V245" s="24">
        <f t="shared" si="354"/>
        <v>2.06</v>
      </c>
      <c r="W245" s="24">
        <f>IF(circMast,circMast/2,0.16)+V245</f>
        <v>2.2200000000000002</v>
      </c>
      <c r="X245" s="24">
        <f>msam/e^2</f>
        <v>3.0435841246652053</v>
      </c>
      <c r="Y245" s="25">
        <f t="shared" si="315"/>
        <v>1</v>
      </c>
      <c r="Z245" s="24">
        <f>0.67*X245^0.3*msam*Y245</f>
        <v>14.034005900949326</v>
      </c>
      <c r="AA245" s="21">
        <f>IF(lpg,msag/lpg^2,0)</f>
        <v>0</v>
      </c>
      <c r="AB245" s="24">
        <f>IF(AA245,0.72*AA245^0.3*msag,IF(msag,0.9*msag,0))</f>
        <v>3.33</v>
      </c>
      <c r="AC245" s="24">
        <f>rsam+rsag+IF(rsascr,rsascr-jibred*rsag,rsas-jibred*rsag)</f>
        <v>19.556105900949326</v>
      </c>
      <c r="AD245" s="58">
        <f>IF(wsex,wsex,wsin-6)+crew*(IF(AND(crew=1,msam+msag&gt;=11),75,IF(loa&lt;=4,65,IF(loa&lt;=4.8,70,75))))</f>
        <v>267</v>
      </c>
      <c r="AE245" s="58">
        <f>IF(wsin,wsin,wsex+6)+crew*(IF(AND(crew=1,msam+msag&gt;=11),75,IF(loa&lt;=4,65,IF(loa&lt;=4.8,70,75))))</f>
        <v>273</v>
      </c>
      <c r="AF245" s="21">
        <f>IF(sas,((sas)*0.15),IF(loa&lt;=4.87,IF(crew=1,14*0.15,17*0.15),IF(loa&lt;=5.8,IF(crew=1,17*0.15,21*0.15),IF(loa&lt;=6.71,IF(crew=1,20*0.15,25*0.15),0))))</f>
        <v>2.625</v>
      </c>
      <c r="AG245" s="77">
        <f>IF(AND(ars&lt;0.75*(AND(ars&gt;0)),(sas/msam&gt;0.75)),(sas*(12/ars^1.1)*0.01),0)</f>
        <v>0</v>
      </c>
      <c r="AH245" s="114">
        <f t="shared" si="311"/>
        <v>1</v>
      </c>
      <c r="AI245" s="59">
        <f>100/(1.15*rl^0.3*(rsam+rsag)^0.4/rwex^0.325)*corcb</f>
        <v>105.28520531670198</v>
      </c>
      <c r="AJ245" s="59">
        <f>100/(1.15*rl^0.3*rsa^0.4/rwin^0.325)*corcb</f>
        <v>101.12326106458856</v>
      </c>
      <c r="AK245" s="55"/>
      <c r="AL245" s="55">
        <v>2.06</v>
      </c>
      <c r="AM245" s="21">
        <f>AK245*AL245*0.5</f>
        <v>0</v>
      </c>
      <c r="AN245" s="55">
        <v>8.48</v>
      </c>
      <c r="AO245" s="55"/>
      <c r="AP245" s="21">
        <f>AN245*AO245*2/3</f>
        <v>0</v>
      </c>
      <c r="AQ245" s="55"/>
      <c r="AR245" s="55">
        <v>0</v>
      </c>
      <c r="AS245" s="21">
        <f>AQ245*AR245*2/3</f>
        <v>0</v>
      </c>
      <c r="AT245" s="54"/>
      <c r="AU245" s="54"/>
      <c r="AV245" s="21">
        <f>AT245*AU245*0.5</f>
        <v>0</v>
      </c>
      <c r="AW245" s="54"/>
      <c r="AX245" s="54"/>
      <c r="AY245" s="21">
        <f>AW245*AX245*0.5</f>
        <v>0</v>
      </c>
      <c r="AZ245" s="54"/>
      <c r="BA245" s="54"/>
      <c r="BB245" s="21">
        <f>AZ245*BA245*2/3</f>
        <v>0</v>
      </c>
      <c r="BC245" s="54"/>
      <c r="BD245" s="54"/>
      <c r="BE245" s="21">
        <f>BC245*BD245*2/3</f>
        <v>0</v>
      </c>
      <c r="BF245" s="55"/>
      <c r="BG245" s="55"/>
      <c r="BH245" s="21">
        <f>BF245*BG245*0.5</f>
        <v>0</v>
      </c>
      <c r="BI245" s="55"/>
      <c r="BJ245" s="55"/>
      <c r="BK245" s="21">
        <f>BI245*BJ245*2/3</f>
        <v>0</v>
      </c>
      <c r="BL245" s="55"/>
      <c r="BM245" s="55"/>
      <c r="BN245" s="21">
        <f>BL245*BM245*0.5</f>
        <v>0</v>
      </c>
      <c r="BO245" s="55"/>
      <c r="BP245" s="55"/>
      <c r="BQ245" s="21">
        <f>BO245*BP245*0.5</f>
        <v>0</v>
      </c>
      <c r="BR245" s="55"/>
      <c r="BS245" s="21">
        <f>AM245+AP245+AS245+AV245+AY245+BB245+BE245+BH245+BK245+BN245+BQ245</f>
        <v>0</v>
      </c>
      <c r="BT245" s="56">
        <v>0</v>
      </c>
      <c r="BU245" s="56"/>
      <c r="BV245" s="21">
        <f>BT245*BU245*0.5</f>
        <v>0</v>
      </c>
      <c r="BW245" s="77">
        <f>BT245-CF245</f>
        <v>0</v>
      </c>
      <c r="BX245" s="55"/>
      <c r="BY245" s="21">
        <f>BW245*BX245*2/3</f>
        <v>0</v>
      </c>
      <c r="BZ245" s="55"/>
      <c r="CA245" s="55"/>
      <c r="CB245" s="21">
        <f>BZ245*CA245*2/3</f>
        <v>0</v>
      </c>
      <c r="CC245" s="54"/>
      <c r="CD245" s="54"/>
      <c r="CE245" s="21">
        <f>CC245*CD245*2/3</f>
        <v>0</v>
      </c>
      <c r="CF245" s="21"/>
      <c r="CG245" s="21"/>
      <c r="CH245" s="21">
        <f>CF245*CG245*0.5</f>
        <v>0</v>
      </c>
      <c r="CI245" s="25">
        <f>BV245+BY245+CB245+CE245+CH245+DG245</f>
        <v>3.7</v>
      </c>
      <c r="CJ245" s="54"/>
      <c r="CK245" s="21">
        <f>MastLength*circMast*0.5</f>
        <v>0</v>
      </c>
      <c r="CL245" s="55"/>
      <c r="CM245" s="55"/>
      <c r="CN245" s="60"/>
      <c r="CO245" s="55"/>
      <c r="CP245" s="55"/>
      <c r="CQ245" s="55"/>
      <c r="CR245" s="55"/>
      <c r="CS245" s="55"/>
      <c r="CT245" s="55"/>
      <c r="CU245" s="55"/>
      <c r="CV245" s="55"/>
      <c r="CW245" s="55"/>
      <c r="CX245" s="55"/>
      <c r="CY245" s="21">
        <f>(CT245+4*CU245+2*CV245+4*CW245+CX245)*AN245/12</f>
        <v>0</v>
      </c>
      <c r="CZ245" s="56"/>
      <c r="DA245" s="56"/>
      <c r="DB245" s="56"/>
      <c r="DC245" s="56"/>
      <c r="DD245" s="61">
        <f>IF(CZ245,DC245/CZ245,smg_sf_no_details)</f>
        <v>0</v>
      </c>
      <c r="DE245" s="21">
        <f>IF(CZ245,CZ245*(DA245+DB245)/4+(DC245-CZ245/2)*(DA245+DB245)/3,sas_no_details)</f>
        <v>17.5</v>
      </c>
      <c r="DF245" s="55">
        <v>15</v>
      </c>
      <c r="DG245" s="55">
        <v>3.7</v>
      </c>
      <c r="DH245" s="55">
        <v>5.64</v>
      </c>
      <c r="DI245" s="55">
        <v>17.5</v>
      </c>
      <c r="DJ245" s="104"/>
      <c r="DK245" s="53" t="s">
        <v>129</v>
      </c>
      <c r="DM245" s="58">
        <f t="shared" si="273"/>
        <v>763.78092241919978</v>
      </c>
      <c r="DN245" s="58">
        <f>IF(wsex,0.5*wsex*width+(rwex-wsex)*width+trapeze*(rwex-wsex)/crew,0.5*(wsin-6)*width+(rwin-wsin)*width+trapeze*(rwin-wsin)/crew)</f>
        <v>671.25</v>
      </c>
      <c r="DO245" s="21">
        <f>righting/heeling</f>
        <v>0.8788514877720206</v>
      </c>
      <c r="DP245" s="62">
        <f t="shared" ref="DP245:DP275" si="368">IF((1/DO245)^$DP$5&lt;1,1,(1/DO245)^$DP$5)</f>
        <v>1.014306703795635</v>
      </c>
      <c r="DQ245" s="7" t="s">
        <v>130</v>
      </c>
      <c r="DR245" s="107" t="str">
        <f t="shared" si="274"/>
        <v>yes</v>
      </c>
    </row>
    <row r="246" spans="1:122" ht="12.75" customHeight="1" x14ac:dyDescent="0.2">
      <c r="A246" s="53" t="s">
        <v>436</v>
      </c>
      <c r="B246" s="54">
        <v>1</v>
      </c>
      <c r="C246" s="92">
        <f t="shared" si="351"/>
        <v>107.99246274269538</v>
      </c>
      <c r="D246" s="92">
        <f t="shared" si="352"/>
        <v>102.88738028662762</v>
      </c>
      <c r="E246" s="92">
        <f>VLOOKUP(A246,[3]TRTOTAL!$A$7:$D$313,3,FALSE)</f>
        <v>108.87863805667132</v>
      </c>
      <c r="F246" s="92">
        <f>VLOOKUP(A246,[3]TRTOTAL!$A$7:$D$313,4,FALSE)</f>
        <v>103.53979364673148</v>
      </c>
      <c r="G246" s="92">
        <f>C246-E246</f>
        <v>-0.88617531397594007</v>
      </c>
      <c r="H246" s="92">
        <f>D246-F246</f>
        <v>-0.65241336010386419</v>
      </c>
      <c r="I246" s="54">
        <v>5</v>
      </c>
      <c r="J246" s="56">
        <v>5</v>
      </c>
      <c r="K246" s="54">
        <v>2.5</v>
      </c>
      <c r="L246" s="57">
        <v>1</v>
      </c>
      <c r="M246" s="57"/>
      <c r="N246" s="57">
        <v>119</v>
      </c>
      <c r="O246" s="87"/>
      <c r="P246" s="24">
        <f t="shared" si="350"/>
        <v>15</v>
      </c>
      <c r="Q246" s="24">
        <f t="shared" si="346"/>
        <v>8.48</v>
      </c>
      <c r="R246" s="24">
        <f t="shared" si="353"/>
        <v>0</v>
      </c>
      <c r="S246" s="87">
        <v>8.5</v>
      </c>
      <c r="T246" s="21">
        <f>IF(gs_1,gs_1*0.94,VlgNoDetails)</f>
        <v>0</v>
      </c>
      <c r="U246" s="21"/>
      <c r="V246" s="24">
        <f t="shared" si="354"/>
        <v>2.06</v>
      </c>
      <c r="W246" s="24">
        <f>IF(circMast,circMast/2,0.16)+V246</f>
        <v>2.2200000000000002</v>
      </c>
      <c r="X246" s="24">
        <f>msam/e^2</f>
        <v>3.0435841246652053</v>
      </c>
      <c r="Y246" s="25">
        <f t="shared" si="315"/>
        <v>1</v>
      </c>
      <c r="Z246" s="24">
        <f>0.67*X246^0.3*msam*Y246</f>
        <v>14.034005900949326</v>
      </c>
      <c r="AA246" s="21">
        <f>IF(lpg,msag/lpg^2,0)</f>
        <v>0</v>
      </c>
      <c r="AB246" s="24">
        <f>IF(AA246,0.72*AA246^0.3*msag,IF(msag,0.9*msag,0))</f>
        <v>0</v>
      </c>
      <c r="AC246" s="24">
        <f>rsam+rsag+IF(rsascr,rsascr-jibred*rsag,rsas-jibred*rsag)</f>
        <v>16.659005900949325</v>
      </c>
      <c r="AD246" s="58">
        <f>IF(wsex,wsex,wsin-6)+crew*(IF(AND(crew=1,msam+msag&gt;=11),75,IF(loa&lt;=4,65,IF(loa&lt;=4.8,70,75))))</f>
        <v>188</v>
      </c>
      <c r="AE246" s="58">
        <f>IF(wsin,wsin,wsex+6)+crew*(IF(AND(crew=1,msam+msag&gt;=11),75,IF(loa&lt;=4,65,IF(loa&lt;=4.8,70,75))))</f>
        <v>194</v>
      </c>
      <c r="AF246" s="21">
        <f>IF(sas,((sas)*0.15),IF(loa&lt;=4.87,IF(crew=1,14*0.15,17*0.15),IF(loa&lt;=5.8,IF(crew=1,17*0.15,21*0.15),IF(loa&lt;=6.71,IF(crew=1,20*0.15,25*0.15),0))))</f>
        <v>2.625</v>
      </c>
      <c r="AG246" s="77">
        <f>IF(AND(ars&lt;0.75*(AND(ars&gt;0)),(sas/msam&gt;0.75)),(sas*(12/ars^1.1)*0.01),0)</f>
        <v>0</v>
      </c>
      <c r="AH246" s="114">
        <f t="shared" si="311"/>
        <v>1</v>
      </c>
      <c r="AI246" s="59">
        <f>100/(1.15*rl^0.3*(rsam+rsag)^0.4/rwex^0.325)*corcb</f>
        <v>102.29155895356428</v>
      </c>
      <c r="AJ246" s="59">
        <f>100/(1.15*rl^0.3*rsa^0.4/rwin^0.325)*corcb</f>
        <v>96.491062311250758</v>
      </c>
      <c r="AK246" s="55"/>
      <c r="AL246" s="55">
        <v>2.06</v>
      </c>
      <c r="AM246" s="21">
        <f>AK246*AL246*0.5</f>
        <v>0</v>
      </c>
      <c r="AN246" s="55">
        <v>8.48</v>
      </c>
      <c r="AO246" s="55"/>
      <c r="AP246" s="21">
        <f>AN246*AO246*2/3</f>
        <v>0</v>
      </c>
      <c r="AQ246" s="55"/>
      <c r="AR246" s="55">
        <v>0</v>
      </c>
      <c r="AS246" s="21">
        <f>AQ246*AR246*2/3</f>
        <v>0</v>
      </c>
      <c r="AT246" s="54"/>
      <c r="AU246" s="54"/>
      <c r="AV246" s="21">
        <f>AT246*AU246*0.5</f>
        <v>0</v>
      </c>
      <c r="AW246" s="54"/>
      <c r="AX246" s="54"/>
      <c r="AY246" s="21">
        <f>AW246*AX246*0.5</f>
        <v>0</v>
      </c>
      <c r="AZ246" s="54"/>
      <c r="BA246" s="54"/>
      <c r="BB246" s="21">
        <f>AZ246*BA246*2/3</f>
        <v>0</v>
      </c>
      <c r="BC246" s="54"/>
      <c r="BD246" s="54"/>
      <c r="BE246" s="21">
        <f>BC246*BD246*2/3</f>
        <v>0</v>
      </c>
      <c r="BF246" s="55"/>
      <c r="BG246" s="55"/>
      <c r="BH246" s="21">
        <f>BF246*BG246*0.5</f>
        <v>0</v>
      </c>
      <c r="BI246" s="55"/>
      <c r="BJ246" s="55"/>
      <c r="BK246" s="21">
        <f>BI246*BJ246*2/3</f>
        <v>0</v>
      </c>
      <c r="BL246" s="55"/>
      <c r="BM246" s="55"/>
      <c r="BN246" s="21">
        <f>BL246*BM246*0.5</f>
        <v>0</v>
      </c>
      <c r="BO246" s="55"/>
      <c r="BP246" s="55"/>
      <c r="BQ246" s="21">
        <f>BO246*BP246*0.5</f>
        <v>0</v>
      </c>
      <c r="BR246" s="55"/>
      <c r="BS246" s="21">
        <f>AM246+AP246+AS246+AV246+AY246+BB246+BE246+BH246+BK246+BN246+BQ246</f>
        <v>0</v>
      </c>
      <c r="BT246" s="56">
        <v>0</v>
      </c>
      <c r="BU246" s="56"/>
      <c r="BV246" s="21">
        <f>BT246*BU246*0.5</f>
        <v>0</v>
      </c>
      <c r="BW246" s="77">
        <f>BT246-CF246</f>
        <v>0</v>
      </c>
      <c r="BX246" s="55"/>
      <c r="BY246" s="21">
        <f>BW246*BX246*2/3</f>
        <v>0</v>
      </c>
      <c r="BZ246" s="55"/>
      <c r="CA246" s="55"/>
      <c r="CB246" s="21">
        <f>BZ246*CA246*2/3</f>
        <v>0</v>
      </c>
      <c r="CC246" s="55"/>
      <c r="CD246" s="55"/>
      <c r="CE246" s="21">
        <f>CC246*CD246*2/3</f>
        <v>0</v>
      </c>
      <c r="CF246" s="21"/>
      <c r="CG246" s="21"/>
      <c r="CH246" s="21">
        <f>CF246*CG246*0.5</f>
        <v>0</v>
      </c>
      <c r="CI246" s="25">
        <f>BV246+BY246+CB246+CE246+CH246+DG246</f>
        <v>0</v>
      </c>
      <c r="CJ246" s="54"/>
      <c r="CK246" s="21">
        <f>MastLength*circMast*0.5</f>
        <v>0</v>
      </c>
      <c r="CL246" s="55"/>
      <c r="CM246" s="55"/>
      <c r="CN246" s="60"/>
      <c r="CO246" s="55"/>
      <c r="CP246" s="55"/>
      <c r="CQ246" s="55"/>
      <c r="CR246" s="55"/>
      <c r="CS246" s="55"/>
      <c r="CT246" s="55"/>
      <c r="CU246" s="55"/>
      <c r="CV246" s="55"/>
      <c r="CW246" s="55"/>
      <c r="CX246" s="55"/>
      <c r="CY246" s="21">
        <f>(CT246+4*CU246+2*CV246+4*CW246+CX246)*AN246/12</f>
        <v>0</v>
      </c>
      <c r="CZ246" s="56"/>
      <c r="DA246" s="56"/>
      <c r="DB246" s="56"/>
      <c r="DC246" s="56"/>
      <c r="DD246" s="61">
        <f>IF(CZ246,DC246/CZ246,smg_sf_no_details)</f>
        <v>0</v>
      </c>
      <c r="DE246" s="21">
        <f>IF(CZ246,CZ246*(DA246+DB246)/4+(DC246-CZ246/2)*(DA246+DB246)/3,sas_no_details)</f>
        <v>17.5</v>
      </c>
      <c r="DF246" s="55">
        <v>15</v>
      </c>
      <c r="DG246" s="55"/>
      <c r="DH246" s="55"/>
      <c r="DI246" s="55">
        <v>17.5</v>
      </c>
      <c r="DJ246" s="104"/>
      <c r="DK246" s="53" t="s">
        <v>129</v>
      </c>
      <c r="DM246" s="58">
        <f t="shared" si="273"/>
        <v>661.05349631999991</v>
      </c>
      <c r="DN246" s="58">
        <f>IF(wsex,0.5*wsex*width+(rwex-wsex)*width+trapeze*(rwex-wsex)/crew,0.5*(wsin-6)*width+(rwin-wsin)*width+trapeze*(rwin-wsin)/crew)</f>
        <v>403.75</v>
      </c>
      <c r="DO246" s="21">
        <f>righting/heeling</f>
        <v>0.61076751314019895</v>
      </c>
      <c r="DP246" s="62">
        <f t="shared" si="368"/>
        <v>1.0557319083554007</v>
      </c>
      <c r="DQ246" s="7" t="s">
        <v>130</v>
      </c>
      <c r="DR246" s="107" t="str">
        <f t="shared" si="274"/>
        <v>yes</v>
      </c>
    </row>
    <row r="247" spans="1:122" ht="12.75" customHeight="1" x14ac:dyDescent="0.2">
      <c r="A247" s="53" t="s">
        <v>437</v>
      </c>
      <c r="B247" s="54">
        <v>2</v>
      </c>
      <c r="C247" s="92">
        <f t="shared" si="351"/>
        <v>102.22149970840225</v>
      </c>
      <c r="D247" s="92">
        <f t="shared" si="352"/>
        <v>97.332274994404258</v>
      </c>
      <c r="E247" s="92">
        <f>VLOOKUP(A247,[3]TRTOTAL!$A$7:$D$313,3,FALSE)</f>
        <v>102.22149970840225</v>
      </c>
      <c r="F247" s="92">
        <f>VLOOKUP(A247,[3]TRTOTAL!$A$7:$D$313,4,FALSE)</f>
        <v>97.332274994404258</v>
      </c>
      <c r="G247" s="92">
        <f t="shared" si="307"/>
        <v>0</v>
      </c>
      <c r="H247" s="92">
        <f t="shared" si="308"/>
        <v>0</v>
      </c>
      <c r="I247" s="54">
        <v>5.5</v>
      </c>
      <c r="J247" s="56">
        <v>5.5</v>
      </c>
      <c r="K247" s="54">
        <v>2.5</v>
      </c>
      <c r="L247" s="57">
        <v>2</v>
      </c>
      <c r="M247" s="57"/>
      <c r="N247" s="57">
        <v>130</v>
      </c>
      <c r="O247" s="87"/>
      <c r="P247" s="24">
        <f t="shared" si="350"/>
        <v>20</v>
      </c>
      <c r="Q247" s="24">
        <f t="shared" si="346"/>
        <v>10.3</v>
      </c>
      <c r="R247" s="24">
        <f t="shared" si="353"/>
        <v>0</v>
      </c>
      <c r="S247" s="87">
        <v>10.5</v>
      </c>
      <c r="T247" s="21">
        <f t="shared" si="335"/>
        <v>0</v>
      </c>
      <c r="U247" s="21">
        <v>2.145</v>
      </c>
      <c r="V247" s="24">
        <f t="shared" si="354"/>
        <v>2.145</v>
      </c>
      <c r="W247" s="24">
        <f t="shared" si="337"/>
        <v>2.3050000000000002</v>
      </c>
      <c r="X247" s="24">
        <f t="shared" si="338"/>
        <v>3.7643338775932729</v>
      </c>
      <c r="Y247" s="25">
        <f t="shared" si="315"/>
        <v>1</v>
      </c>
      <c r="Z247" s="24">
        <f t="shared" si="310"/>
        <v>19.943952871040239</v>
      </c>
      <c r="AA247" s="21">
        <f t="shared" si="339"/>
        <v>0</v>
      </c>
      <c r="AB247" s="24">
        <f t="shared" si="322"/>
        <v>0</v>
      </c>
      <c r="AC247" s="24">
        <f t="shared" si="331"/>
        <v>22.943952871040239</v>
      </c>
      <c r="AD247" s="58">
        <f t="shared" si="340"/>
        <v>274</v>
      </c>
      <c r="AE247" s="58">
        <f t="shared" si="341"/>
        <v>280</v>
      </c>
      <c r="AF247" s="21">
        <f t="shared" si="316"/>
        <v>3</v>
      </c>
      <c r="AG247" s="77">
        <f t="shared" si="317"/>
        <v>0</v>
      </c>
      <c r="AH247" s="114">
        <f t="shared" si="311"/>
        <v>1</v>
      </c>
      <c r="AI247" s="59">
        <f t="shared" si="318"/>
        <v>97.619772232985767</v>
      </c>
      <c r="AJ247" s="59">
        <f t="shared" si="319"/>
        <v>92.950646810859553</v>
      </c>
      <c r="AK247" s="55"/>
      <c r="AL247" s="55"/>
      <c r="AM247" s="21">
        <f t="shared" si="342"/>
        <v>0</v>
      </c>
      <c r="AN247" s="54">
        <v>10.3</v>
      </c>
      <c r="AO247" s="55"/>
      <c r="AP247" s="21">
        <f t="shared" si="347"/>
        <v>0</v>
      </c>
      <c r="AQ247" s="55"/>
      <c r="AR247" s="55"/>
      <c r="AS247" s="21">
        <f t="shared" si="355"/>
        <v>0</v>
      </c>
      <c r="AT247" s="54"/>
      <c r="AU247" s="54"/>
      <c r="AV247" s="21">
        <f t="shared" si="356"/>
        <v>0</v>
      </c>
      <c r="AW247" s="54"/>
      <c r="AX247" s="54"/>
      <c r="AY247" s="21">
        <f t="shared" si="357"/>
        <v>0</v>
      </c>
      <c r="AZ247" s="54"/>
      <c r="BA247" s="54"/>
      <c r="BB247" s="21">
        <f t="shared" si="358"/>
        <v>0</v>
      </c>
      <c r="BC247" s="54"/>
      <c r="BD247" s="54"/>
      <c r="BE247" s="21">
        <f t="shared" si="359"/>
        <v>0</v>
      </c>
      <c r="BF247" s="55"/>
      <c r="BG247" s="55"/>
      <c r="BH247" s="21">
        <f t="shared" si="360"/>
        <v>0</v>
      </c>
      <c r="BI247" s="55"/>
      <c r="BJ247" s="55"/>
      <c r="BK247" s="21">
        <f t="shared" si="361"/>
        <v>0</v>
      </c>
      <c r="BL247" s="55"/>
      <c r="BM247" s="55"/>
      <c r="BN247" s="21">
        <f t="shared" si="362"/>
        <v>0</v>
      </c>
      <c r="BO247" s="55"/>
      <c r="BP247" s="55"/>
      <c r="BQ247" s="21">
        <f t="shared" si="363"/>
        <v>0</v>
      </c>
      <c r="BR247" s="55"/>
      <c r="BS247" s="21">
        <f t="shared" si="348"/>
        <v>0</v>
      </c>
      <c r="BT247" s="56">
        <v>0</v>
      </c>
      <c r="BU247" s="56"/>
      <c r="BV247" s="21">
        <f t="shared" si="364"/>
        <v>0</v>
      </c>
      <c r="BW247" s="77">
        <f t="shared" si="323"/>
        <v>0</v>
      </c>
      <c r="BX247" s="55"/>
      <c r="BY247" s="21">
        <f t="shared" si="365"/>
        <v>0</v>
      </c>
      <c r="BZ247" s="55"/>
      <c r="CA247" s="55"/>
      <c r="CB247" s="21">
        <f t="shared" si="366"/>
        <v>0</v>
      </c>
      <c r="CC247" s="54"/>
      <c r="CD247" s="54"/>
      <c r="CE247" s="21">
        <f t="shared" si="367"/>
        <v>0</v>
      </c>
      <c r="CF247" s="21"/>
      <c r="CG247" s="21"/>
      <c r="CH247" s="21">
        <f t="shared" si="324"/>
        <v>0</v>
      </c>
      <c r="CI247" s="25">
        <f t="shared" si="312"/>
        <v>0</v>
      </c>
      <c r="CJ247" s="54"/>
      <c r="CK247" s="21">
        <f t="shared" si="349"/>
        <v>0</v>
      </c>
      <c r="CL247" s="55"/>
      <c r="CM247" s="55"/>
      <c r="CN247" s="60"/>
      <c r="CO247" s="55"/>
      <c r="CP247" s="55"/>
      <c r="CQ247" s="55"/>
      <c r="CR247" s="55"/>
      <c r="CS247" s="55"/>
      <c r="CT247" s="55"/>
      <c r="CU247" s="55"/>
      <c r="CV247" s="55"/>
      <c r="CW247" s="55"/>
      <c r="CX247" s="55"/>
      <c r="CY247" s="21">
        <f t="shared" si="343"/>
        <v>0</v>
      </c>
      <c r="CZ247" s="56"/>
      <c r="DA247" s="56"/>
      <c r="DB247" s="56"/>
      <c r="DC247" s="56"/>
      <c r="DD247" s="61">
        <f t="shared" si="313"/>
        <v>0</v>
      </c>
      <c r="DE247" s="21">
        <f t="shared" si="314"/>
        <v>20</v>
      </c>
      <c r="DF247" s="55">
        <v>20</v>
      </c>
      <c r="DG247" s="55"/>
      <c r="DH247" s="55"/>
      <c r="DI247" s="55">
        <v>20</v>
      </c>
      <c r="DJ247" s="104"/>
      <c r="DK247" s="53" t="s">
        <v>129</v>
      </c>
      <c r="DM247" s="58">
        <f t="shared" si="273"/>
        <v>1033.6359935999999</v>
      </c>
      <c r="DN247" s="58">
        <f t="shared" si="344"/>
        <v>680</v>
      </c>
      <c r="DO247" s="21">
        <f t="shared" si="345"/>
        <v>0.65787182742317385</v>
      </c>
      <c r="DP247" s="62">
        <f t="shared" si="368"/>
        <v>1.0471392974000564</v>
      </c>
      <c r="DQ247" s="7">
        <v>0</v>
      </c>
      <c r="DR247" s="107">
        <f t="shared" si="274"/>
        <v>0</v>
      </c>
    </row>
    <row r="248" spans="1:122" ht="12.75" customHeight="1" x14ac:dyDescent="0.2">
      <c r="A248" s="53" t="s">
        <v>438</v>
      </c>
      <c r="B248" s="54">
        <v>2</v>
      </c>
      <c r="C248" s="92">
        <f t="shared" si="351"/>
        <v>102.71554078843036</v>
      </c>
      <c r="D248" s="92">
        <f t="shared" si="352"/>
        <v>98.455599948629427</v>
      </c>
      <c r="E248" s="92">
        <f>VLOOKUP(A248,[3]TRTOTAL!$A$7:$D$313,3,FALSE)</f>
        <v>102.71554078843036</v>
      </c>
      <c r="F248" s="92">
        <f>VLOOKUP(A248,[3]TRTOTAL!$A$7:$D$313,4,FALSE)</f>
        <v>98.455599948629427</v>
      </c>
      <c r="G248" s="92">
        <f t="shared" si="307"/>
        <v>0</v>
      </c>
      <c r="H248" s="92">
        <f t="shared" si="308"/>
        <v>0</v>
      </c>
      <c r="I248" s="54">
        <v>5.4859999999999998</v>
      </c>
      <c r="J248" s="56">
        <v>5.45</v>
      </c>
      <c r="K248" s="54">
        <v>2.5</v>
      </c>
      <c r="L248" s="57">
        <v>2</v>
      </c>
      <c r="M248" s="57">
        <v>130</v>
      </c>
      <c r="N248" s="57"/>
      <c r="O248" s="87"/>
      <c r="P248" s="24">
        <f t="shared" si="350"/>
        <v>17.052500000000002</v>
      </c>
      <c r="Q248" s="24">
        <f t="shared" si="346"/>
        <v>8.5090000000000003</v>
      </c>
      <c r="R248" s="24">
        <f t="shared" si="353"/>
        <v>5.25</v>
      </c>
      <c r="S248" s="87">
        <v>9</v>
      </c>
      <c r="T248" s="21">
        <f t="shared" si="335"/>
        <v>5.2235800000000001</v>
      </c>
      <c r="U248" s="21"/>
      <c r="V248" s="24">
        <f t="shared" si="354"/>
        <v>2.5527000000000002</v>
      </c>
      <c r="W248" s="24">
        <f t="shared" si="337"/>
        <v>2.7352000000000003</v>
      </c>
      <c r="X248" s="24">
        <f t="shared" si="338"/>
        <v>2.2793440446565953</v>
      </c>
      <c r="Y248" s="25">
        <f t="shared" si="315"/>
        <v>1</v>
      </c>
      <c r="Z248" s="24">
        <f t="shared" si="310"/>
        <v>14.628703100317628</v>
      </c>
      <c r="AA248" s="21">
        <f t="shared" si="339"/>
        <v>0</v>
      </c>
      <c r="AB248" s="24">
        <f t="shared" si="322"/>
        <v>4.7250000000000005</v>
      </c>
      <c r="AC248" s="24">
        <f t="shared" si="331"/>
        <v>21.889453100317628</v>
      </c>
      <c r="AD248" s="58">
        <f t="shared" si="340"/>
        <v>280</v>
      </c>
      <c r="AE248" s="58">
        <f t="shared" si="341"/>
        <v>286</v>
      </c>
      <c r="AF248" s="21">
        <f t="shared" si="316"/>
        <v>3.15</v>
      </c>
      <c r="AG248" s="77">
        <f t="shared" si="317"/>
        <v>0</v>
      </c>
      <c r="AH248" s="114">
        <f t="shared" si="311"/>
        <v>1</v>
      </c>
      <c r="AI248" s="59">
        <f t="shared" si="318"/>
        <v>99.770911380286634</v>
      </c>
      <c r="AJ248" s="59">
        <f t="shared" si="319"/>
        <v>95.633093706829797</v>
      </c>
      <c r="AK248" s="55"/>
      <c r="AL248" s="55"/>
      <c r="AM248" s="21">
        <f t="shared" si="342"/>
        <v>0</v>
      </c>
      <c r="AN248" s="54">
        <v>8.5090000000000003</v>
      </c>
      <c r="AO248" s="55"/>
      <c r="AP248" s="21">
        <f t="shared" si="347"/>
        <v>0</v>
      </c>
      <c r="AQ248" s="55">
        <v>0</v>
      </c>
      <c r="AR248" s="55">
        <v>0</v>
      </c>
      <c r="AS248" s="21">
        <f t="shared" si="355"/>
        <v>0</v>
      </c>
      <c r="AT248" s="54"/>
      <c r="AU248" s="54"/>
      <c r="AV248" s="21">
        <f t="shared" si="356"/>
        <v>0</v>
      </c>
      <c r="AW248" s="54"/>
      <c r="AX248" s="54"/>
      <c r="AY248" s="21">
        <f t="shared" si="357"/>
        <v>0</v>
      </c>
      <c r="AZ248" s="54"/>
      <c r="BA248" s="54"/>
      <c r="BB248" s="21">
        <f t="shared" si="358"/>
        <v>0</v>
      </c>
      <c r="BC248" s="54">
        <v>0</v>
      </c>
      <c r="BD248" s="54">
        <v>0</v>
      </c>
      <c r="BE248" s="21">
        <f t="shared" si="359"/>
        <v>0</v>
      </c>
      <c r="BF248" s="55"/>
      <c r="BG248" s="55"/>
      <c r="BH248" s="21">
        <f t="shared" si="360"/>
        <v>0</v>
      </c>
      <c r="BI248" s="55">
        <v>0</v>
      </c>
      <c r="BJ248" s="55">
        <v>0</v>
      </c>
      <c r="BK248" s="21">
        <f t="shared" si="361"/>
        <v>0</v>
      </c>
      <c r="BL248" s="55">
        <v>0</v>
      </c>
      <c r="BM248" s="55">
        <v>0</v>
      </c>
      <c r="BN248" s="21">
        <f t="shared" si="362"/>
        <v>0</v>
      </c>
      <c r="BO248" s="55">
        <v>0</v>
      </c>
      <c r="BP248" s="55">
        <v>0</v>
      </c>
      <c r="BQ248" s="21">
        <f t="shared" si="363"/>
        <v>0</v>
      </c>
      <c r="BR248" s="55">
        <v>0</v>
      </c>
      <c r="BS248" s="21">
        <f t="shared" si="348"/>
        <v>0</v>
      </c>
      <c r="BT248" s="56">
        <v>5.5570000000000004</v>
      </c>
      <c r="BU248" s="56"/>
      <c r="BV248" s="21">
        <f t="shared" si="364"/>
        <v>0</v>
      </c>
      <c r="BW248" s="77">
        <f t="shared" si="323"/>
        <v>5.5570000000000004</v>
      </c>
      <c r="BX248" s="55"/>
      <c r="BY248" s="21">
        <f t="shared" si="365"/>
        <v>0</v>
      </c>
      <c r="BZ248" s="55"/>
      <c r="CA248" s="55"/>
      <c r="CB248" s="21">
        <f t="shared" si="366"/>
        <v>0</v>
      </c>
      <c r="CC248" s="55"/>
      <c r="CD248" s="55"/>
      <c r="CE248" s="21">
        <f t="shared" si="367"/>
        <v>0</v>
      </c>
      <c r="CF248" s="21"/>
      <c r="CG248" s="21"/>
      <c r="CH248" s="21">
        <f t="shared" si="324"/>
        <v>0</v>
      </c>
      <c r="CI248" s="25">
        <f t="shared" si="312"/>
        <v>5.25</v>
      </c>
      <c r="CJ248" s="54">
        <v>0.36499999999999999</v>
      </c>
      <c r="CK248" s="21">
        <f t="shared" si="349"/>
        <v>1.6425000000000001</v>
      </c>
      <c r="CL248" s="55"/>
      <c r="CM248" s="55"/>
      <c r="CN248" s="60">
        <v>37626</v>
      </c>
      <c r="CO248" s="55"/>
      <c r="CP248" s="55">
        <v>0</v>
      </c>
      <c r="CQ248" s="55">
        <v>0</v>
      </c>
      <c r="CR248" s="55">
        <v>0</v>
      </c>
      <c r="CS248" s="55">
        <v>0</v>
      </c>
      <c r="CT248" s="55"/>
      <c r="CU248" s="55"/>
      <c r="CV248" s="55"/>
      <c r="CW248" s="55"/>
      <c r="CX248" s="55"/>
      <c r="CY248" s="21">
        <f t="shared" si="343"/>
        <v>0</v>
      </c>
      <c r="CZ248" s="56">
        <v>0</v>
      </c>
      <c r="DA248" s="56">
        <v>0</v>
      </c>
      <c r="DB248" s="56">
        <v>0</v>
      </c>
      <c r="DC248" s="56">
        <v>0</v>
      </c>
      <c r="DD248" s="61">
        <f t="shared" si="313"/>
        <v>0</v>
      </c>
      <c r="DE248" s="21">
        <f t="shared" si="314"/>
        <v>0</v>
      </c>
      <c r="DF248" s="55">
        <v>15.41</v>
      </c>
      <c r="DG248" s="55">
        <v>5.25</v>
      </c>
      <c r="DH248" s="55"/>
      <c r="DI248" s="55"/>
      <c r="DJ248" s="104"/>
      <c r="DK248" s="53" t="s">
        <v>129</v>
      </c>
      <c r="DM248" s="58">
        <f t="shared" ref="DM248:DM299" si="369">((0.42*vlm+IF(Decksweeper="yes",0.98,1))*msam+(0.33*vlg+1)*msag)*DynPress</f>
        <v>895.59373004774397</v>
      </c>
      <c r="DN248" s="58">
        <f t="shared" si="344"/>
        <v>687.5</v>
      </c>
      <c r="DO248" s="21">
        <f t="shared" si="345"/>
        <v>0.76764717855198639</v>
      </c>
      <c r="DP248" s="62">
        <f t="shared" si="368"/>
        <v>1.0295139070837991</v>
      </c>
      <c r="DQ248" s="7" t="s">
        <v>130</v>
      </c>
      <c r="DR248" s="107">
        <f t="shared" ref="DR248:DR265" si="370">IF((vlm/MastLength)&gt;0.99,"yes",0)</f>
        <v>0</v>
      </c>
    </row>
    <row r="249" spans="1:122" ht="12.75" customHeight="1" x14ac:dyDescent="0.2">
      <c r="A249" s="53" t="s">
        <v>439</v>
      </c>
      <c r="B249" s="54">
        <v>1</v>
      </c>
      <c r="C249" s="92">
        <f t="shared" si="351"/>
        <v>117.50374104836021</v>
      </c>
      <c r="D249" s="92">
        <f t="shared" si="352"/>
        <v>113.43800060602788</v>
      </c>
      <c r="E249" s="92">
        <f>VLOOKUP(A249,[3]TRTOTAL!$A$7:$D$313,3,FALSE)</f>
        <v>117.50374104836021</v>
      </c>
      <c r="F249" s="92">
        <f>VLOOKUP(A249,[3]TRTOTAL!$A$7:$D$313,4,FALSE)</f>
        <v>113.43800060602788</v>
      </c>
      <c r="G249" s="92">
        <f t="shared" si="307"/>
        <v>0</v>
      </c>
      <c r="H249" s="92">
        <f t="shared" si="308"/>
        <v>0</v>
      </c>
      <c r="I249" s="54">
        <v>4.6500000000000004</v>
      </c>
      <c r="J249" s="56">
        <v>4.5</v>
      </c>
      <c r="K249" s="54">
        <v>2.5</v>
      </c>
      <c r="L249" s="57">
        <v>1</v>
      </c>
      <c r="M249" s="57">
        <v>136</v>
      </c>
      <c r="N249" s="57"/>
      <c r="O249" s="87" t="s">
        <v>133</v>
      </c>
      <c r="P249" s="24">
        <f t="shared" si="350"/>
        <v>15.86</v>
      </c>
      <c r="Q249" s="24">
        <f t="shared" si="346"/>
        <v>7.42</v>
      </c>
      <c r="R249" s="24">
        <f t="shared" si="353"/>
        <v>0</v>
      </c>
      <c r="S249" s="87">
        <v>7.8</v>
      </c>
      <c r="T249" s="21">
        <f t="shared" si="335"/>
        <v>0</v>
      </c>
      <c r="U249" s="21"/>
      <c r="V249" s="24">
        <f t="shared" si="354"/>
        <v>2.226</v>
      </c>
      <c r="W249" s="24">
        <f t="shared" si="337"/>
        <v>2.3860000000000001</v>
      </c>
      <c r="X249" s="24">
        <f t="shared" si="338"/>
        <v>2.7858793506968911</v>
      </c>
      <c r="Y249" s="25">
        <f t="shared" si="315"/>
        <v>1</v>
      </c>
      <c r="Z249" s="24">
        <f t="shared" si="310"/>
        <v>14.449961067528877</v>
      </c>
      <c r="AA249" s="21">
        <f t="shared" si="339"/>
        <v>0</v>
      </c>
      <c r="AB249" s="24">
        <f t="shared" si="322"/>
        <v>0</v>
      </c>
      <c r="AC249" s="24">
        <f t="shared" si="331"/>
        <v>16.549961067528876</v>
      </c>
      <c r="AD249" s="58">
        <f t="shared" si="340"/>
        <v>211</v>
      </c>
      <c r="AE249" s="58">
        <f t="shared" si="341"/>
        <v>217</v>
      </c>
      <c r="AF249" s="21">
        <f t="shared" si="316"/>
        <v>2.1</v>
      </c>
      <c r="AG249" s="77">
        <f t="shared" si="317"/>
        <v>0</v>
      </c>
      <c r="AH249" s="114">
        <f t="shared" si="311"/>
        <v>1.04</v>
      </c>
      <c r="AI249" s="59">
        <f t="shared" si="318"/>
        <v>112.67222534805063</v>
      </c>
      <c r="AJ249" s="59">
        <f t="shared" si="319"/>
        <v>107.69669298329578</v>
      </c>
      <c r="AK249" s="55"/>
      <c r="AL249" s="55"/>
      <c r="AM249" s="21">
        <f t="shared" si="342"/>
        <v>0</v>
      </c>
      <c r="AN249" s="54">
        <v>7.42</v>
      </c>
      <c r="AO249" s="55"/>
      <c r="AP249" s="21">
        <f t="shared" si="347"/>
        <v>0</v>
      </c>
      <c r="AQ249" s="55"/>
      <c r="AR249" s="55"/>
      <c r="AS249" s="21">
        <f t="shared" si="355"/>
        <v>0</v>
      </c>
      <c r="AT249" s="54"/>
      <c r="AU249" s="54"/>
      <c r="AV249" s="21">
        <f t="shared" si="356"/>
        <v>0</v>
      </c>
      <c r="AW249" s="54"/>
      <c r="AX249" s="54"/>
      <c r="AY249" s="21">
        <f t="shared" si="357"/>
        <v>0</v>
      </c>
      <c r="AZ249" s="54"/>
      <c r="BA249" s="54"/>
      <c r="BB249" s="21">
        <f t="shared" si="358"/>
        <v>0</v>
      </c>
      <c r="BC249" s="54"/>
      <c r="BD249" s="54"/>
      <c r="BE249" s="21">
        <f t="shared" si="359"/>
        <v>0</v>
      </c>
      <c r="BF249" s="55"/>
      <c r="BG249" s="55"/>
      <c r="BH249" s="21">
        <f t="shared" si="360"/>
        <v>0</v>
      </c>
      <c r="BI249" s="55"/>
      <c r="BJ249" s="55"/>
      <c r="BK249" s="21">
        <f t="shared" si="361"/>
        <v>0</v>
      </c>
      <c r="BL249" s="55"/>
      <c r="BM249" s="55"/>
      <c r="BN249" s="21">
        <f t="shared" si="362"/>
        <v>0</v>
      </c>
      <c r="BO249" s="55"/>
      <c r="BP249" s="55"/>
      <c r="BQ249" s="21">
        <f t="shared" si="363"/>
        <v>0</v>
      </c>
      <c r="BR249" s="55"/>
      <c r="BS249" s="21">
        <f t="shared" si="348"/>
        <v>0</v>
      </c>
      <c r="BT249" s="56">
        <v>0</v>
      </c>
      <c r="BU249" s="56"/>
      <c r="BV249" s="21">
        <f t="shared" si="364"/>
        <v>0</v>
      </c>
      <c r="BW249" s="77">
        <f t="shared" si="323"/>
        <v>0</v>
      </c>
      <c r="BX249" s="55"/>
      <c r="BY249" s="21">
        <f t="shared" si="365"/>
        <v>0</v>
      </c>
      <c r="BZ249" s="55"/>
      <c r="CA249" s="55"/>
      <c r="CB249" s="21">
        <f t="shared" si="366"/>
        <v>0</v>
      </c>
      <c r="CC249" s="54"/>
      <c r="CD249" s="54"/>
      <c r="CE249" s="21">
        <f t="shared" si="367"/>
        <v>0</v>
      </c>
      <c r="CF249" s="21"/>
      <c r="CG249" s="21"/>
      <c r="CH249" s="21">
        <f t="shared" si="324"/>
        <v>0</v>
      </c>
      <c r="CI249" s="25">
        <f t="shared" si="312"/>
        <v>0</v>
      </c>
      <c r="CJ249" s="54"/>
      <c r="CK249" s="21">
        <f t="shared" si="349"/>
        <v>0</v>
      </c>
      <c r="CL249" s="55"/>
      <c r="CM249" s="55"/>
      <c r="CN249" s="60"/>
      <c r="CO249" s="55"/>
      <c r="CP249" s="55"/>
      <c r="CQ249" s="55"/>
      <c r="CR249" s="55"/>
      <c r="CS249" s="55"/>
      <c r="CT249" s="55"/>
      <c r="CU249" s="55"/>
      <c r="CV249" s="55"/>
      <c r="CW249" s="55"/>
      <c r="CX249" s="55"/>
      <c r="CY249" s="21">
        <f t="shared" si="343"/>
        <v>0</v>
      </c>
      <c r="CZ249" s="56"/>
      <c r="DA249" s="56"/>
      <c r="DB249" s="56"/>
      <c r="DC249" s="56"/>
      <c r="DD249" s="61">
        <f t="shared" si="313"/>
        <v>0</v>
      </c>
      <c r="DE249" s="21">
        <f t="shared" si="314"/>
        <v>0</v>
      </c>
      <c r="DF249" s="55">
        <v>15.86</v>
      </c>
      <c r="DG249" s="55"/>
      <c r="DH249" s="55"/>
      <c r="DI249" s="55"/>
      <c r="DJ249" s="104"/>
      <c r="DK249" s="53"/>
      <c r="DM249" s="58">
        <f t="shared" si="369"/>
        <v>633.51546166271999</v>
      </c>
      <c r="DN249" s="58">
        <f t="shared" si="344"/>
        <v>432.5</v>
      </c>
      <c r="DO249" s="21">
        <f t="shared" si="345"/>
        <v>0.682698412545234</v>
      </c>
      <c r="DP249" s="62">
        <f t="shared" si="368"/>
        <v>1.0428811598012266</v>
      </c>
      <c r="DQ249" s="7">
        <v>0</v>
      </c>
      <c r="DR249" s="107">
        <f t="shared" si="370"/>
        <v>0</v>
      </c>
    </row>
    <row r="250" spans="1:122" ht="12.75" customHeight="1" x14ac:dyDescent="0.2">
      <c r="A250" s="53" t="s">
        <v>440</v>
      </c>
      <c r="B250" s="54">
        <v>2</v>
      </c>
      <c r="C250" s="92">
        <f t="shared" si="351"/>
        <v>112.20483443156729</v>
      </c>
      <c r="D250" s="92">
        <f t="shared" si="352"/>
        <v>107.3947738376317</v>
      </c>
      <c r="E250" s="92">
        <f>VLOOKUP(A250,[3]TRTOTAL!$A$7:$D$313,3,FALSE)</f>
        <v>112.20483443156729</v>
      </c>
      <c r="F250" s="92">
        <f>VLOOKUP(A250,[3]TRTOTAL!$A$7:$D$313,4,FALSE)</f>
        <v>107.3947738376317</v>
      </c>
      <c r="G250" s="92">
        <f t="shared" si="307"/>
        <v>0</v>
      </c>
      <c r="H250" s="92">
        <f t="shared" si="308"/>
        <v>0</v>
      </c>
      <c r="I250" s="54">
        <v>5.22</v>
      </c>
      <c r="J250" s="56">
        <v>5.22</v>
      </c>
      <c r="K250" s="54">
        <v>2.6</v>
      </c>
      <c r="L250" s="57">
        <v>2</v>
      </c>
      <c r="M250" s="57">
        <v>180</v>
      </c>
      <c r="N250" s="57"/>
      <c r="O250" s="87" t="s">
        <v>133</v>
      </c>
      <c r="P250" s="24">
        <f t="shared" si="350"/>
        <v>17</v>
      </c>
      <c r="Q250" s="24">
        <f t="shared" si="346"/>
        <v>8.25</v>
      </c>
      <c r="R250" s="24">
        <f t="shared" si="353"/>
        <v>5</v>
      </c>
      <c r="S250" s="87">
        <v>8.6999999999999993</v>
      </c>
      <c r="T250" s="21">
        <f t="shared" si="335"/>
        <v>5.3</v>
      </c>
      <c r="U250" s="21"/>
      <c r="V250" s="24">
        <f t="shared" si="354"/>
        <v>2.4750000000000001</v>
      </c>
      <c r="W250" s="24">
        <f t="shared" si="337"/>
        <v>2.6350000000000002</v>
      </c>
      <c r="X250" s="24">
        <f t="shared" si="338"/>
        <v>2.4484299442982183</v>
      </c>
      <c r="Y250" s="25">
        <f t="shared" si="315"/>
        <v>1</v>
      </c>
      <c r="Z250" s="24">
        <f t="shared" si="310"/>
        <v>14.900129012633874</v>
      </c>
      <c r="AA250" s="21">
        <f t="shared" si="339"/>
        <v>0</v>
      </c>
      <c r="AB250" s="24">
        <f t="shared" si="322"/>
        <v>4.5</v>
      </c>
      <c r="AC250" s="24">
        <f t="shared" si="331"/>
        <v>21.965129012633877</v>
      </c>
      <c r="AD250" s="58">
        <f t="shared" si="340"/>
        <v>330</v>
      </c>
      <c r="AE250" s="58">
        <f t="shared" si="341"/>
        <v>336</v>
      </c>
      <c r="AF250" s="21">
        <f t="shared" si="316"/>
        <v>3.15</v>
      </c>
      <c r="AG250" s="77">
        <f t="shared" si="317"/>
        <v>0</v>
      </c>
      <c r="AH250" s="114">
        <f t="shared" si="311"/>
        <v>1.04</v>
      </c>
      <c r="AI250" s="59">
        <f t="shared" si="318"/>
        <v>110.77188121130919</v>
      </c>
      <c r="AJ250" s="59">
        <f t="shared" si="319"/>
        <v>106.02324927018196</v>
      </c>
      <c r="AK250" s="55"/>
      <c r="AL250" s="55"/>
      <c r="AM250" s="21">
        <f t="shared" si="342"/>
        <v>0</v>
      </c>
      <c r="AN250" s="54">
        <v>8.25</v>
      </c>
      <c r="AO250" s="55"/>
      <c r="AP250" s="21">
        <f t="shared" si="347"/>
        <v>0</v>
      </c>
      <c r="AQ250" s="55"/>
      <c r="AR250" s="55"/>
      <c r="AS250" s="21">
        <f t="shared" si="355"/>
        <v>0</v>
      </c>
      <c r="AT250" s="54"/>
      <c r="AU250" s="54"/>
      <c r="AV250" s="21">
        <f t="shared" si="356"/>
        <v>0</v>
      </c>
      <c r="AW250" s="54"/>
      <c r="AX250" s="54"/>
      <c r="AY250" s="21">
        <f t="shared" si="357"/>
        <v>0</v>
      </c>
      <c r="AZ250" s="54"/>
      <c r="BA250" s="54"/>
      <c r="BB250" s="21">
        <f t="shared" si="358"/>
        <v>0</v>
      </c>
      <c r="BC250" s="54"/>
      <c r="BD250" s="54"/>
      <c r="BE250" s="21">
        <f t="shared" si="359"/>
        <v>0</v>
      </c>
      <c r="BF250" s="55"/>
      <c r="BG250" s="55"/>
      <c r="BH250" s="21">
        <f t="shared" si="360"/>
        <v>0</v>
      </c>
      <c r="BI250" s="55"/>
      <c r="BJ250" s="55"/>
      <c r="BK250" s="21">
        <f t="shared" si="361"/>
        <v>0</v>
      </c>
      <c r="BL250" s="55"/>
      <c r="BM250" s="55"/>
      <c r="BN250" s="21">
        <f t="shared" si="362"/>
        <v>0</v>
      </c>
      <c r="BO250" s="55"/>
      <c r="BP250" s="55"/>
      <c r="BQ250" s="21">
        <f t="shared" si="363"/>
        <v>0</v>
      </c>
      <c r="BR250" s="55"/>
      <c r="BS250" s="21">
        <f t="shared" si="348"/>
        <v>0</v>
      </c>
      <c r="BT250" s="56">
        <v>0</v>
      </c>
      <c r="BU250" s="56"/>
      <c r="BV250" s="21">
        <f t="shared" si="364"/>
        <v>0</v>
      </c>
      <c r="BW250" s="77">
        <f t="shared" si="323"/>
        <v>0</v>
      </c>
      <c r="BX250" s="55"/>
      <c r="BY250" s="21">
        <f t="shared" si="365"/>
        <v>0</v>
      </c>
      <c r="BZ250" s="55"/>
      <c r="CA250" s="55"/>
      <c r="CB250" s="21">
        <f t="shared" si="366"/>
        <v>0</v>
      </c>
      <c r="CC250" s="55"/>
      <c r="CD250" s="55"/>
      <c r="CE250" s="21">
        <f t="shared" si="367"/>
        <v>0</v>
      </c>
      <c r="CF250" s="21"/>
      <c r="CG250" s="21"/>
      <c r="CH250" s="21">
        <f t="shared" si="324"/>
        <v>0</v>
      </c>
      <c r="CI250" s="25">
        <f t="shared" si="312"/>
        <v>5</v>
      </c>
      <c r="CJ250" s="54"/>
      <c r="CK250" s="21">
        <f t="shared" si="349"/>
        <v>0</v>
      </c>
      <c r="CL250" s="55"/>
      <c r="CM250" s="55"/>
      <c r="CN250" s="60"/>
      <c r="CO250" s="55"/>
      <c r="CP250" s="55"/>
      <c r="CQ250" s="55"/>
      <c r="CR250" s="55"/>
      <c r="CS250" s="55"/>
      <c r="CT250" s="55"/>
      <c r="CU250" s="55"/>
      <c r="CV250" s="55"/>
      <c r="CW250" s="55"/>
      <c r="CX250" s="55"/>
      <c r="CY250" s="21">
        <f t="shared" si="343"/>
        <v>0</v>
      </c>
      <c r="CZ250" s="56"/>
      <c r="DA250" s="56"/>
      <c r="DB250" s="56"/>
      <c r="DC250" s="56"/>
      <c r="DD250" s="61">
        <f t="shared" si="313"/>
        <v>0</v>
      </c>
      <c r="DE250" s="21">
        <f t="shared" si="314"/>
        <v>0</v>
      </c>
      <c r="DF250" s="55">
        <v>17</v>
      </c>
      <c r="DG250" s="55">
        <v>5</v>
      </c>
      <c r="DH250" s="55">
        <v>5.3</v>
      </c>
      <c r="DI250" s="55"/>
      <c r="DJ250" s="104"/>
      <c r="DK250" s="53"/>
      <c r="DM250" s="58">
        <f t="shared" si="369"/>
        <v>869.93491199999994</v>
      </c>
      <c r="DN250" s="58">
        <f t="shared" si="344"/>
        <v>774</v>
      </c>
      <c r="DO250" s="21">
        <f t="shared" si="345"/>
        <v>0.88972173587166026</v>
      </c>
      <c r="DP250" s="62">
        <f t="shared" si="368"/>
        <v>1.0129360737092168</v>
      </c>
      <c r="DQ250" s="7">
        <v>0</v>
      </c>
      <c r="DR250" s="107">
        <f t="shared" si="370"/>
        <v>0</v>
      </c>
    </row>
    <row r="251" spans="1:122" ht="12" customHeight="1" x14ac:dyDescent="0.2">
      <c r="A251" s="53" t="s">
        <v>441</v>
      </c>
      <c r="B251" s="54">
        <v>1</v>
      </c>
      <c r="C251" s="92">
        <f t="shared" si="351"/>
        <v>108.34568660178178</v>
      </c>
      <c r="D251" s="92">
        <f t="shared" si="352"/>
        <v>104.36325874832964</v>
      </c>
      <c r="E251" s="92">
        <f>VLOOKUP(A251,[3]TRTOTAL!$A$7:$D$313,3,FALSE)</f>
        <v>108.34568660178178</v>
      </c>
      <c r="F251" s="92">
        <f>VLOOKUP(A251,[3]TRTOTAL!$A$7:$D$313,4,FALSE)</f>
        <v>104.36325874832964</v>
      </c>
      <c r="G251" s="92">
        <f t="shared" si="307"/>
        <v>0</v>
      </c>
      <c r="H251" s="92">
        <f t="shared" si="308"/>
        <v>0</v>
      </c>
      <c r="I251" s="54">
        <v>5.8</v>
      </c>
      <c r="J251" s="56">
        <v>5.7</v>
      </c>
      <c r="K251" s="54">
        <v>2.5</v>
      </c>
      <c r="L251" s="57">
        <v>1</v>
      </c>
      <c r="M251" s="57">
        <v>188</v>
      </c>
      <c r="N251" s="57"/>
      <c r="O251" s="87"/>
      <c r="P251" s="24">
        <f t="shared" si="350"/>
        <v>19.23</v>
      </c>
      <c r="Q251" s="24">
        <f t="shared" si="346"/>
        <v>10</v>
      </c>
      <c r="R251" s="24">
        <f t="shared" si="353"/>
        <v>0</v>
      </c>
      <c r="S251" s="87">
        <v>10.4</v>
      </c>
      <c r="T251" s="21">
        <f t="shared" si="335"/>
        <v>0</v>
      </c>
      <c r="U251" s="21">
        <v>2.5</v>
      </c>
      <c r="V251" s="24">
        <f t="shared" si="354"/>
        <v>2.5</v>
      </c>
      <c r="W251" s="24">
        <f t="shared" si="337"/>
        <v>2.66</v>
      </c>
      <c r="X251" s="24">
        <f t="shared" si="338"/>
        <v>2.7177907173949909</v>
      </c>
      <c r="Y251" s="25">
        <f t="shared" si="315"/>
        <v>1</v>
      </c>
      <c r="Z251" s="24">
        <f t="shared" si="310"/>
        <v>17.390773156438872</v>
      </c>
      <c r="AA251" s="21">
        <f t="shared" si="339"/>
        <v>0</v>
      </c>
      <c r="AB251" s="24">
        <f t="shared" si="322"/>
        <v>0</v>
      </c>
      <c r="AC251" s="24">
        <f t="shared" si="331"/>
        <v>19.940773156438873</v>
      </c>
      <c r="AD251" s="58">
        <f t="shared" si="340"/>
        <v>263</v>
      </c>
      <c r="AE251" s="58">
        <f t="shared" si="341"/>
        <v>269</v>
      </c>
      <c r="AF251" s="21">
        <f t="shared" si="316"/>
        <v>2.5499999999999998</v>
      </c>
      <c r="AG251" s="77">
        <f t="shared" si="317"/>
        <v>0</v>
      </c>
      <c r="AH251" s="114">
        <f t="shared" si="311"/>
        <v>1</v>
      </c>
      <c r="AI251" s="59">
        <f t="shared" si="318"/>
        <v>100.66946604715024</v>
      </c>
      <c r="AJ251" s="59">
        <f t="shared" si="319"/>
        <v>96.009099588963309</v>
      </c>
      <c r="AK251" s="55"/>
      <c r="AL251" s="55"/>
      <c r="AM251" s="21">
        <f t="shared" si="342"/>
        <v>0</v>
      </c>
      <c r="AN251" s="54">
        <v>10</v>
      </c>
      <c r="AO251" s="55"/>
      <c r="AP251" s="21">
        <f t="shared" si="347"/>
        <v>0</v>
      </c>
      <c r="AQ251" s="55"/>
      <c r="AR251" s="55"/>
      <c r="AS251" s="21">
        <f t="shared" si="355"/>
        <v>0</v>
      </c>
      <c r="AT251" s="54"/>
      <c r="AU251" s="54"/>
      <c r="AV251" s="21">
        <f t="shared" si="356"/>
        <v>0</v>
      </c>
      <c r="AW251" s="54"/>
      <c r="AX251" s="54"/>
      <c r="AY251" s="21">
        <f t="shared" si="357"/>
        <v>0</v>
      </c>
      <c r="AZ251" s="54"/>
      <c r="BA251" s="54"/>
      <c r="BB251" s="21">
        <f t="shared" si="358"/>
        <v>0</v>
      </c>
      <c r="BC251" s="54"/>
      <c r="BD251" s="54"/>
      <c r="BE251" s="21">
        <f t="shared" si="359"/>
        <v>0</v>
      </c>
      <c r="BF251" s="55"/>
      <c r="BG251" s="55"/>
      <c r="BH251" s="21">
        <f t="shared" si="360"/>
        <v>0</v>
      </c>
      <c r="BI251" s="55"/>
      <c r="BJ251" s="55"/>
      <c r="BK251" s="21">
        <f t="shared" si="361"/>
        <v>0</v>
      </c>
      <c r="BL251" s="55"/>
      <c r="BM251" s="55"/>
      <c r="BN251" s="21">
        <f t="shared" si="362"/>
        <v>0</v>
      </c>
      <c r="BO251" s="55"/>
      <c r="BP251" s="55"/>
      <c r="BQ251" s="21">
        <f t="shared" si="363"/>
        <v>0</v>
      </c>
      <c r="BR251" s="55"/>
      <c r="BS251" s="21">
        <f t="shared" si="348"/>
        <v>0</v>
      </c>
      <c r="BT251" s="56">
        <v>0</v>
      </c>
      <c r="BU251" s="56"/>
      <c r="BV251" s="21">
        <f t="shared" si="364"/>
        <v>0</v>
      </c>
      <c r="BW251" s="77">
        <f t="shared" si="323"/>
        <v>0</v>
      </c>
      <c r="BX251" s="55"/>
      <c r="BY251" s="21">
        <f t="shared" si="365"/>
        <v>0</v>
      </c>
      <c r="BZ251" s="55"/>
      <c r="CA251" s="55"/>
      <c r="CB251" s="21">
        <f t="shared" si="366"/>
        <v>0</v>
      </c>
      <c r="CC251" s="55"/>
      <c r="CD251" s="55"/>
      <c r="CE251" s="21">
        <f t="shared" si="367"/>
        <v>0</v>
      </c>
      <c r="CF251" s="21"/>
      <c r="CG251" s="21"/>
      <c r="CH251" s="21">
        <f t="shared" si="324"/>
        <v>0</v>
      </c>
      <c r="CI251" s="25">
        <f t="shared" si="312"/>
        <v>0</v>
      </c>
      <c r="CJ251" s="54"/>
      <c r="CK251" s="21">
        <f t="shared" si="349"/>
        <v>0</v>
      </c>
      <c r="CL251" s="55"/>
      <c r="CM251" s="55"/>
      <c r="CN251" s="60"/>
      <c r="CO251" s="55"/>
      <c r="CP251" s="55"/>
      <c r="CQ251" s="55"/>
      <c r="CR251" s="55"/>
      <c r="CS251" s="55"/>
      <c r="CT251" s="55"/>
      <c r="CU251" s="55"/>
      <c r="CV251" s="55"/>
      <c r="CW251" s="55"/>
      <c r="CX251" s="55"/>
      <c r="CY251" s="21">
        <f t="shared" si="343"/>
        <v>0</v>
      </c>
      <c r="CZ251" s="56"/>
      <c r="DA251" s="56"/>
      <c r="DB251" s="56"/>
      <c r="DC251" s="56"/>
      <c r="DD251" s="61">
        <f t="shared" si="313"/>
        <v>0</v>
      </c>
      <c r="DE251" s="21">
        <f t="shared" si="314"/>
        <v>0</v>
      </c>
      <c r="DF251" s="55">
        <v>19.23</v>
      </c>
      <c r="DG251" s="55"/>
      <c r="DH251" s="55"/>
      <c r="DI251" s="55"/>
      <c r="DJ251" s="104"/>
      <c r="DK251" s="53"/>
      <c r="DM251" s="58">
        <f t="shared" si="369"/>
        <v>970.32918527999993</v>
      </c>
      <c r="DN251" s="58">
        <f t="shared" si="344"/>
        <v>497.5</v>
      </c>
      <c r="DO251" s="21">
        <f t="shared" si="345"/>
        <v>0.51271260057630907</v>
      </c>
      <c r="DP251" s="62">
        <f t="shared" si="368"/>
        <v>1.0762517261295124</v>
      </c>
      <c r="DQ251" s="7">
        <v>0</v>
      </c>
      <c r="DR251" s="107">
        <f t="shared" si="370"/>
        <v>0</v>
      </c>
    </row>
    <row r="252" spans="1:122" ht="12.75" customHeight="1" x14ac:dyDescent="0.2">
      <c r="A252" s="53" t="s">
        <v>442</v>
      </c>
      <c r="B252" s="54">
        <v>2</v>
      </c>
      <c r="C252" s="92">
        <f t="shared" si="351"/>
        <v>100.98747107983738</v>
      </c>
      <c r="D252" s="92">
        <f t="shared" si="352"/>
        <v>97.221236002877646</v>
      </c>
      <c r="E252" s="92">
        <f>VLOOKUP(A252,[3]TRTOTAL!$A$7:$D$313,3,FALSE)</f>
        <v>100.98747107983738</v>
      </c>
      <c r="F252" s="92">
        <f>VLOOKUP(A252,[3]TRTOTAL!$A$7:$D$313,4,FALSE)</f>
        <v>97.221236002877646</v>
      </c>
      <c r="G252" s="92">
        <f t="shared" si="307"/>
        <v>0</v>
      </c>
      <c r="H252" s="92">
        <f t="shared" si="308"/>
        <v>0</v>
      </c>
      <c r="I252" s="54">
        <v>5.8</v>
      </c>
      <c r="J252" s="56">
        <v>5.7</v>
      </c>
      <c r="K252" s="54">
        <v>3</v>
      </c>
      <c r="L252" s="57">
        <v>2</v>
      </c>
      <c r="M252" s="57">
        <v>190</v>
      </c>
      <c r="N252" s="57"/>
      <c r="O252" s="87"/>
      <c r="P252" s="24">
        <f t="shared" si="350"/>
        <v>18.5</v>
      </c>
      <c r="Q252" s="24">
        <f t="shared" si="346"/>
        <v>8.3000000000000007</v>
      </c>
      <c r="R252" s="24">
        <f t="shared" si="353"/>
        <v>5.6</v>
      </c>
      <c r="S252" s="87">
        <v>8.6999999999999993</v>
      </c>
      <c r="T252" s="21">
        <f t="shared" si="335"/>
        <v>4.5</v>
      </c>
      <c r="U252" s="21"/>
      <c r="V252" s="24">
        <f t="shared" si="354"/>
        <v>2.4900000000000002</v>
      </c>
      <c r="W252" s="24">
        <f t="shared" si="337"/>
        <v>2.6500000000000004</v>
      </c>
      <c r="X252" s="24">
        <f t="shared" si="338"/>
        <v>2.6343894624421496</v>
      </c>
      <c r="Y252" s="25">
        <f t="shared" si="315"/>
        <v>1</v>
      </c>
      <c r="Z252" s="24">
        <f t="shared" si="310"/>
        <v>16.574885053463639</v>
      </c>
      <c r="AA252" s="21">
        <f t="shared" si="339"/>
        <v>0</v>
      </c>
      <c r="AB252" s="24">
        <f t="shared" si="322"/>
        <v>5.04</v>
      </c>
      <c r="AC252" s="24">
        <f t="shared" si="331"/>
        <v>24.109685053463636</v>
      </c>
      <c r="AD252" s="58">
        <f t="shared" si="340"/>
        <v>340</v>
      </c>
      <c r="AE252" s="58">
        <f t="shared" si="341"/>
        <v>346</v>
      </c>
      <c r="AF252" s="21">
        <f t="shared" si="316"/>
        <v>3.15</v>
      </c>
      <c r="AG252" s="77">
        <f t="shared" si="317"/>
        <v>0</v>
      </c>
      <c r="AH252" s="114">
        <f t="shared" si="311"/>
        <v>1</v>
      </c>
      <c r="AI252" s="59">
        <f t="shared" si="318"/>
        <v>100.31576256463697</v>
      </c>
      <c r="AJ252" s="59">
        <f t="shared" si="319"/>
        <v>96.574578240452709</v>
      </c>
      <c r="AK252" s="55"/>
      <c r="AL252" s="55"/>
      <c r="AM252" s="21">
        <f t="shared" si="342"/>
        <v>0</v>
      </c>
      <c r="AN252" s="54">
        <v>8.3000000000000007</v>
      </c>
      <c r="AO252" s="55"/>
      <c r="AP252" s="21">
        <f t="shared" si="347"/>
        <v>0</v>
      </c>
      <c r="AQ252" s="55"/>
      <c r="AR252" s="55"/>
      <c r="AS252" s="21">
        <f t="shared" si="355"/>
        <v>0</v>
      </c>
      <c r="AT252" s="54"/>
      <c r="AU252" s="54"/>
      <c r="AV252" s="21">
        <f t="shared" si="356"/>
        <v>0</v>
      </c>
      <c r="AW252" s="54"/>
      <c r="AX252" s="54"/>
      <c r="AY252" s="21">
        <f t="shared" si="357"/>
        <v>0</v>
      </c>
      <c r="AZ252" s="54"/>
      <c r="BA252" s="54"/>
      <c r="BB252" s="21">
        <f t="shared" si="358"/>
        <v>0</v>
      </c>
      <c r="BC252" s="54"/>
      <c r="BD252" s="54"/>
      <c r="BE252" s="21">
        <f t="shared" si="359"/>
        <v>0</v>
      </c>
      <c r="BF252" s="55"/>
      <c r="BG252" s="55"/>
      <c r="BH252" s="21">
        <f t="shared" si="360"/>
        <v>0</v>
      </c>
      <c r="BI252" s="55"/>
      <c r="BJ252" s="55"/>
      <c r="BK252" s="21">
        <f t="shared" si="361"/>
        <v>0</v>
      </c>
      <c r="BL252" s="55"/>
      <c r="BM252" s="55"/>
      <c r="BN252" s="21">
        <f t="shared" si="362"/>
        <v>0</v>
      </c>
      <c r="BO252" s="55"/>
      <c r="BP252" s="55"/>
      <c r="BQ252" s="21">
        <f t="shared" si="363"/>
        <v>0</v>
      </c>
      <c r="BR252" s="55"/>
      <c r="BS252" s="21">
        <f t="shared" si="348"/>
        <v>0</v>
      </c>
      <c r="BT252" s="56">
        <v>0</v>
      </c>
      <c r="BU252" s="56"/>
      <c r="BV252" s="21">
        <f t="shared" si="364"/>
        <v>0</v>
      </c>
      <c r="BW252" s="77">
        <f t="shared" si="323"/>
        <v>0</v>
      </c>
      <c r="BX252" s="55"/>
      <c r="BY252" s="21">
        <f t="shared" si="365"/>
        <v>0</v>
      </c>
      <c r="BZ252" s="55"/>
      <c r="CA252" s="55"/>
      <c r="CB252" s="21">
        <f t="shared" si="366"/>
        <v>0</v>
      </c>
      <c r="CC252" s="54"/>
      <c r="CD252" s="54"/>
      <c r="CE252" s="21">
        <f t="shared" si="367"/>
        <v>0</v>
      </c>
      <c r="CF252" s="21"/>
      <c r="CG252" s="21"/>
      <c r="CH252" s="21">
        <f t="shared" si="324"/>
        <v>0</v>
      </c>
      <c r="CI252" s="25">
        <f t="shared" si="312"/>
        <v>5.6</v>
      </c>
      <c r="CJ252" s="54"/>
      <c r="CK252" s="21">
        <f t="shared" si="349"/>
        <v>0</v>
      </c>
      <c r="CL252" s="55"/>
      <c r="CM252" s="55"/>
      <c r="CN252" s="60"/>
      <c r="CO252" s="55"/>
      <c r="CP252" s="55"/>
      <c r="CQ252" s="55"/>
      <c r="CR252" s="55"/>
      <c r="CS252" s="55"/>
      <c r="CT252" s="55"/>
      <c r="CU252" s="55"/>
      <c r="CV252" s="55"/>
      <c r="CW252" s="55"/>
      <c r="CX252" s="55"/>
      <c r="CY252" s="21">
        <f t="shared" si="343"/>
        <v>0</v>
      </c>
      <c r="CZ252" s="56"/>
      <c r="DA252" s="56"/>
      <c r="DB252" s="56"/>
      <c r="DC252" s="56"/>
      <c r="DD252" s="61">
        <f t="shared" si="313"/>
        <v>0</v>
      </c>
      <c r="DE252" s="21">
        <f t="shared" si="314"/>
        <v>0</v>
      </c>
      <c r="DF252" s="55">
        <v>18.5</v>
      </c>
      <c r="DG252" s="55">
        <v>5.6</v>
      </c>
      <c r="DH252" s="55">
        <v>4.5</v>
      </c>
      <c r="DI252" s="55"/>
      <c r="DJ252" s="104"/>
      <c r="DK252" s="53"/>
      <c r="DM252" s="58">
        <f t="shared" si="369"/>
        <v>940.35451775999991</v>
      </c>
      <c r="DN252" s="58">
        <f t="shared" si="344"/>
        <v>885</v>
      </c>
      <c r="DO252" s="21">
        <f t="shared" si="345"/>
        <v>0.94113441610100534</v>
      </c>
      <c r="DP252" s="62">
        <f t="shared" si="368"/>
        <v>1.0066959418742154</v>
      </c>
      <c r="DQ252" s="7">
        <v>0</v>
      </c>
      <c r="DR252" s="107">
        <f t="shared" si="370"/>
        <v>0</v>
      </c>
    </row>
    <row r="253" spans="1:122" ht="12.75" customHeight="1" x14ac:dyDescent="0.2">
      <c r="A253" s="53" t="s">
        <v>443</v>
      </c>
      <c r="B253" s="54">
        <v>2</v>
      </c>
      <c r="C253" s="92">
        <f t="shared" si="351"/>
        <v>96.557197603976462</v>
      </c>
      <c r="D253" s="92">
        <f t="shared" si="352"/>
        <v>92.398085466835781</v>
      </c>
      <c r="E253" s="92">
        <f>VLOOKUP(A253,[3]TRTOTAL!$A$7:$D$313,3,FALSE)</f>
        <v>96.557197603976462</v>
      </c>
      <c r="F253" s="92">
        <f>VLOOKUP(A253,[3]TRTOTAL!$A$7:$D$313,4,FALSE)</f>
        <v>92.398085466835781</v>
      </c>
      <c r="G253" s="92">
        <f t="shared" si="307"/>
        <v>0</v>
      </c>
      <c r="H253" s="92">
        <f t="shared" si="308"/>
        <v>0</v>
      </c>
      <c r="I253" s="54">
        <v>7.16</v>
      </c>
      <c r="J253" s="56">
        <v>7.12</v>
      </c>
      <c r="K253" s="54">
        <v>3</v>
      </c>
      <c r="L253" s="57">
        <v>2</v>
      </c>
      <c r="M253" s="57">
        <v>265</v>
      </c>
      <c r="N253" s="57"/>
      <c r="O253" s="87"/>
      <c r="P253" s="24">
        <f t="shared" si="350"/>
        <v>22.811032500000003</v>
      </c>
      <c r="Q253" s="24">
        <f t="shared" si="346"/>
        <v>9.36</v>
      </c>
      <c r="R253" s="24">
        <f t="shared" si="353"/>
        <v>5.5969999999999995</v>
      </c>
      <c r="S253" s="87">
        <v>9.8000000000000007</v>
      </c>
      <c r="T253" s="21">
        <f t="shared" si="335"/>
        <v>5.0007999999999999</v>
      </c>
      <c r="U253" s="21"/>
      <c r="V253" s="24">
        <f t="shared" si="354"/>
        <v>2.7189999999999999</v>
      </c>
      <c r="W253" s="24">
        <f t="shared" si="337"/>
        <v>2.879</v>
      </c>
      <c r="X253" s="24">
        <f t="shared" si="338"/>
        <v>2.752083544214305</v>
      </c>
      <c r="Y253" s="25">
        <f t="shared" si="315"/>
        <v>1</v>
      </c>
      <c r="Z253" s="24">
        <f t="shared" si="310"/>
        <v>20.70704989824166</v>
      </c>
      <c r="AA253" s="21">
        <f t="shared" si="339"/>
        <v>1.3318262938726948</v>
      </c>
      <c r="AB253" s="24">
        <f t="shared" si="322"/>
        <v>4.3915929455208991</v>
      </c>
      <c r="AC253" s="24">
        <f t="shared" si="331"/>
        <v>28.347813260844841</v>
      </c>
      <c r="AD253" s="58">
        <f t="shared" si="340"/>
        <v>415</v>
      </c>
      <c r="AE253" s="58">
        <f t="shared" si="341"/>
        <v>421</v>
      </c>
      <c r="AF253" s="21">
        <f t="shared" si="316"/>
        <v>3.8200775</v>
      </c>
      <c r="AG253" s="77">
        <f t="shared" si="317"/>
        <v>0</v>
      </c>
      <c r="AH253" s="114">
        <f t="shared" si="311"/>
        <v>1</v>
      </c>
      <c r="AI253" s="59">
        <f t="shared" si="318"/>
        <v>94.311292680421118</v>
      </c>
      <c r="AJ253" s="59">
        <f t="shared" si="319"/>
        <v>90.248920824256018</v>
      </c>
      <c r="AK253" s="55">
        <v>9.1300000000000008</v>
      </c>
      <c r="AL253" s="55">
        <v>2.7189999999999999</v>
      </c>
      <c r="AM253" s="21">
        <f t="shared" si="342"/>
        <v>12.412235000000001</v>
      </c>
      <c r="AN253" s="54">
        <v>9.36</v>
      </c>
      <c r="AO253" s="55">
        <v>0.316</v>
      </c>
      <c r="AP253" s="21">
        <f t="shared" si="347"/>
        <v>1.97184</v>
      </c>
      <c r="AQ253" s="55"/>
      <c r="AR253" s="55"/>
      <c r="AS253" s="21">
        <f t="shared" si="355"/>
        <v>0</v>
      </c>
      <c r="AT253" s="54">
        <v>9.1300000000000008</v>
      </c>
      <c r="AU253" s="54">
        <v>0.91200000000000003</v>
      </c>
      <c r="AV253" s="21">
        <f t="shared" si="356"/>
        <v>4.1632800000000003</v>
      </c>
      <c r="AW253" s="54">
        <v>2.1</v>
      </c>
      <c r="AX253" s="54">
        <v>0.15</v>
      </c>
      <c r="AY253" s="21">
        <f t="shared" si="357"/>
        <v>0.1575</v>
      </c>
      <c r="AZ253" s="54">
        <v>7.3</v>
      </c>
      <c r="BA253" s="54">
        <v>0.51</v>
      </c>
      <c r="BB253" s="21">
        <f t="shared" si="358"/>
        <v>2.4819999999999998</v>
      </c>
      <c r="BC253" s="54"/>
      <c r="BD253" s="54"/>
      <c r="BE253" s="21">
        <f t="shared" si="359"/>
        <v>0</v>
      </c>
      <c r="BF253" s="55">
        <v>0.97699999999999998</v>
      </c>
      <c r="BG253" s="55">
        <v>0.115</v>
      </c>
      <c r="BH253" s="21">
        <f t="shared" si="360"/>
        <v>5.6177499999999998E-2</v>
      </c>
      <c r="BI253" s="55"/>
      <c r="BJ253" s="55"/>
      <c r="BK253" s="21">
        <f t="shared" si="361"/>
        <v>0</v>
      </c>
      <c r="BL253" s="55"/>
      <c r="BM253" s="55"/>
      <c r="BN253" s="21">
        <f t="shared" si="362"/>
        <v>0</v>
      </c>
      <c r="BO253" s="55"/>
      <c r="BP253" s="55"/>
      <c r="BQ253" s="21">
        <f t="shared" si="363"/>
        <v>0</v>
      </c>
      <c r="BR253" s="55"/>
      <c r="BS253" s="21">
        <f t="shared" si="348"/>
        <v>21.243032500000002</v>
      </c>
      <c r="BT253" s="56">
        <v>5.32</v>
      </c>
      <c r="BU253" s="56">
        <v>2.0499999999999998</v>
      </c>
      <c r="BV253" s="21">
        <f t="shared" si="364"/>
        <v>5.4529999999999994</v>
      </c>
      <c r="BW253" s="77">
        <f t="shared" si="323"/>
        <v>5.32</v>
      </c>
      <c r="BX253" s="55"/>
      <c r="BY253" s="21">
        <f t="shared" si="365"/>
        <v>0</v>
      </c>
      <c r="BZ253" s="55">
        <v>2.4</v>
      </c>
      <c r="CA253" s="55">
        <v>0.09</v>
      </c>
      <c r="CB253" s="21">
        <f t="shared" si="366"/>
        <v>0.14399999999999999</v>
      </c>
      <c r="CC253" s="55"/>
      <c r="CD253" s="55"/>
      <c r="CE253" s="21">
        <f t="shared" si="367"/>
        <v>0</v>
      </c>
      <c r="CF253" s="21"/>
      <c r="CG253" s="21"/>
      <c r="CH253" s="21">
        <f t="shared" si="324"/>
        <v>0</v>
      </c>
      <c r="CI253" s="25">
        <f t="shared" si="312"/>
        <v>5.5969999999999995</v>
      </c>
      <c r="CJ253" s="54">
        <v>0.32</v>
      </c>
      <c r="CK253" s="21">
        <f t="shared" si="349"/>
        <v>1.5680000000000001</v>
      </c>
      <c r="CL253" s="55">
        <v>31</v>
      </c>
      <c r="CM253" s="55"/>
      <c r="CN253" s="60">
        <v>37773</v>
      </c>
      <c r="CO253" s="55" t="s">
        <v>162</v>
      </c>
      <c r="CP253" s="55"/>
      <c r="CQ253" s="55"/>
      <c r="CR253" s="55"/>
      <c r="CS253" s="55"/>
      <c r="CT253" s="55"/>
      <c r="CU253" s="55"/>
      <c r="CV253" s="55"/>
      <c r="CW253" s="55"/>
      <c r="CX253" s="55"/>
      <c r="CY253" s="21">
        <f t="shared" si="343"/>
        <v>0</v>
      </c>
      <c r="CZ253" s="56">
        <v>4.2300000000000004</v>
      </c>
      <c r="DA253" s="56">
        <v>9.1199999999999992</v>
      </c>
      <c r="DB253" s="56">
        <v>8.02</v>
      </c>
      <c r="DC253" s="56">
        <v>3.4</v>
      </c>
      <c r="DD253" s="61">
        <f t="shared" si="313"/>
        <v>0.80378250591016542</v>
      </c>
      <c r="DE253" s="21">
        <f t="shared" si="314"/>
        <v>25.467183333333335</v>
      </c>
      <c r="DF253" s="55"/>
      <c r="DG253" s="55"/>
      <c r="DH253" s="55"/>
      <c r="DI253" s="55"/>
      <c r="DJ253" s="104"/>
      <c r="DK253" s="53"/>
      <c r="DM253" s="58">
        <f t="shared" si="369"/>
        <v>1235.4656583895448</v>
      </c>
      <c r="DN253" s="58">
        <f t="shared" si="344"/>
        <v>997.5</v>
      </c>
      <c r="DO253" s="21">
        <f t="shared" si="345"/>
        <v>0.80738788101990788</v>
      </c>
      <c r="DP253" s="62">
        <f t="shared" si="368"/>
        <v>1.0238137433993797</v>
      </c>
      <c r="DQ253" s="7">
        <v>0</v>
      </c>
      <c r="DR253" s="107">
        <f t="shared" si="370"/>
        <v>0</v>
      </c>
    </row>
    <row r="254" spans="1:122" ht="12.75" customHeight="1" x14ac:dyDescent="0.2">
      <c r="A254" s="53" t="s">
        <v>444</v>
      </c>
      <c r="B254" s="54">
        <v>2</v>
      </c>
      <c r="C254" s="92">
        <f t="shared" si="351"/>
        <v>131.67436737965298</v>
      </c>
      <c r="D254" s="92">
        <f t="shared" si="352"/>
        <v>122.49562869755017</v>
      </c>
      <c r="E254" s="92">
        <f>VLOOKUP(A254,[3]TRTOTAL!$A$7:$D$313,3,FALSE)</f>
        <v>131.67436737965298</v>
      </c>
      <c r="F254" s="92">
        <f>VLOOKUP(A254,[3]TRTOTAL!$A$7:$D$313,4,FALSE)</f>
        <v>122.49562869755017</v>
      </c>
      <c r="G254" s="92">
        <f t="shared" si="307"/>
        <v>0</v>
      </c>
      <c r="H254" s="92">
        <f t="shared" si="308"/>
        <v>0</v>
      </c>
      <c r="I254" s="54">
        <v>4.55</v>
      </c>
      <c r="J254" s="56">
        <v>4.3</v>
      </c>
      <c r="K254" s="54">
        <v>2</v>
      </c>
      <c r="L254" s="57">
        <v>2</v>
      </c>
      <c r="M254" s="57">
        <v>90</v>
      </c>
      <c r="N254" s="57"/>
      <c r="O254" s="87"/>
      <c r="P254" s="24">
        <f t="shared" si="350"/>
        <v>9</v>
      </c>
      <c r="Q254" s="24">
        <f t="shared" ref="Q254:Q285" si="371">voorvlm1+voorllm2</f>
        <v>7</v>
      </c>
      <c r="R254" s="24">
        <f t="shared" ref="R254:R278" si="372">CI254</f>
        <v>3</v>
      </c>
      <c r="S254" s="87">
        <v>7.4</v>
      </c>
      <c r="T254" s="21">
        <f t="shared" ref="T254:T285" si="373">IF(gs_1,gs_1*0.94,VlgNoDetails)</f>
        <v>4.5</v>
      </c>
      <c r="U254" s="21"/>
      <c r="V254" s="24">
        <f t="shared" ref="V254:V285" si="374">IF(e_sp,e_sp,(IF(mfoot,MAX(CU254:CX254),IF(mainh1,mainh1,vlm*0.3))))</f>
        <v>2.1</v>
      </c>
      <c r="W254" s="24">
        <f t="shared" ref="W254:W285" si="375">IF(circMast,circMast/2,0.16)+V254</f>
        <v>2.2600000000000002</v>
      </c>
      <c r="X254" s="24">
        <f t="shared" ref="X254:X285" si="376">msam/e^2</f>
        <v>1.7620800375910404</v>
      </c>
      <c r="Y254" s="25">
        <f t="shared" si="315"/>
        <v>1</v>
      </c>
      <c r="Z254" s="24">
        <f t="shared" si="310"/>
        <v>7.1470200668859256</v>
      </c>
      <c r="AA254" s="21">
        <f t="shared" ref="AA254:AA285" si="377">IF(lpg,msag/lpg^2,0)</f>
        <v>0</v>
      </c>
      <c r="AB254" s="24">
        <f t="shared" si="322"/>
        <v>2.7</v>
      </c>
      <c r="AC254" s="24">
        <f t="shared" si="331"/>
        <v>12.046020066885925</v>
      </c>
      <c r="AD254" s="58">
        <f t="shared" ref="AD254:AD285" si="378">IF(wsex,wsex,wsin-6)+crew*(IF(AND(crew=1,msam+msag&gt;=11),75,IF(loa&lt;=4,65,IF(loa&lt;=4.8,70,75))))</f>
        <v>230</v>
      </c>
      <c r="AE254" s="58">
        <f t="shared" ref="AE254:AE285" si="379">IF(wsin,wsin,wsex+6)+crew*(IF(AND(crew=1,msam+msag&gt;=11),75,IF(loa&lt;=4,65,IF(loa&lt;=4.8,70,75))))</f>
        <v>236</v>
      </c>
      <c r="AF254" s="21">
        <f t="shared" si="316"/>
        <v>2.5499999999999998</v>
      </c>
      <c r="AG254" s="77">
        <f t="shared" si="317"/>
        <v>0</v>
      </c>
      <c r="AH254" s="114">
        <f t="shared" si="311"/>
        <v>1</v>
      </c>
      <c r="AI254" s="59">
        <f t="shared" si="318"/>
        <v>131.67436737965298</v>
      </c>
      <c r="AJ254" s="59">
        <f t="shared" si="319"/>
        <v>122.49562869755017</v>
      </c>
      <c r="AK254" s="55"/>
      <c r="AL254" s="55"/>
      <c r="AM254" s="21">
        <f t="shared" ref="AM254:AM280" si="380">AK254*AL254*0.5</f>
        <v>0</v>
      </c>
      <c r="AN254" s="54">
        <v>7</v>
      </c>
      <c r="AO254" s="55"/>
      <c r="AP254" s="21">
        <f t="shared" si="347"/>
        <v>0</v>
      </c>
      <c r="AQ254" s="55"/>
      <c r="AR254" s="55"/>
      <c r="AS254" s="21">
        <f t="shared" si="355"/>
        <v>0</v>
      </c>
      <c r="AT254" s="54"/>
      <c r="AU254" s="54"/>
      <c r="AV254" s="21">
        <f t="shared" si="356"/>
        <v>0</v>
      </c>
      <c r="AW254" s="54"/>
      <c r="AX254" s="54"/>
      <c r="AY254" s="21">
        <f t="shared" si="357"/>
        <v>0</v>
      </c>
      <c r="AZ254" s="54"/>
      <c r="BA254" s="54"/>
      <c r="BB254" s="21">
        <f t="shared" si="358"/>
        <v>0</v>
      </c>
      <c r="BC254" s="54"/>
      <c r="BD254" s="54"/>
      <c r="BE254" s="21">
        <f t="shared" si="359"/>
        <v>0</v>
      </c>
      <c r="BF254" s="55"/>
      <c r="BG254" s="55"/>
      <c r="BH254" s="21">
        <f t="shared" si="360"/>
        <v>0</v>
      </c>
      <c r="BI254" s="55"/>
      <c r="BJ254" s="55"/>
      <c r="BK254" s="21">
        <f t="shared" si="361"/>
        <v>0</v>
      </c>
      <c r="BL254" s="55"/>
      <c r="BM254" s="55"/>
      <c r="BN254" s="21">
        <f t="shared" si="362"/>
        <v>0</v>
      </c>
      <c r="BO254" s="55"/>
      <c r="BP254" s="55"/>
      <c r="BQ254" s="21">
        <f t="shared" si="363"/>
        <v>0</v>
      </c>
      <c r="BR254" s="55"/>
      <c r="BS254" s="21">
        <f t="shared" si="348"/>
        <v>0</v>
      </c>
      <c r="BT254" s="56">
        <v>0</v>
      </c>
      <c r="BU254" s="56"/>
      <c r="BV254" s="21">
        <f t="shared" si="364"/>
        <v>0</v>
      </c>
      <c r="BW254" s="77">
        <f t="shared" si="323"/>
        <v>0</v>
      </c>
      <c r="BX254" s="55"/>
      <c r="BY254" s="21">
        <f t="shared" si="365"/>
        <v>0</v>
      </c>
      <c r="BZ254" s="55"/>
      <c r="CA254" s="55"/>
      <c r="CB254" s="21">
        <f t="shared" si="366"/>
        <v>0</v>
      </c>
      <c r="CC254" s="54"/>
      <c r="CD254" s="54"/>
      <c r="CE254" s="21">
        <f t="shared" si="367"/>
        <v>0</v>
      </c>
      <c r="CF254" s="21"/>
      <c r="CG254" s="21"/>
      <c r="CH254" s="21">
        <f t="shared" si="324"/>
        <v>0</v>
      </c>
      <c r="CI254" s="25">
        <f t="shared" si="312"/>
        <v>3</v>
      </c>
      <c r="CJ254" s="54"/>
      <c r="CK254" s="21">
        <f t="shared" si="349"/>
        <v>0</v>
      </c>
      <c r="CL254" s="55"/>
      <c r="CM254" s="55"/>
      <c r="CN254" s="60"/>
      <c r="CO254" s="55"/>
      <c r="CP254" s="55"/>
      <c r="CQ254" s="55"/>
      <c r="CR254" s="55"/>
      <c r="CS254" s="55"/>
      <c r="CT254" s="55"/>
      <c r="CU254" s="55"/>
      <c r="CV254" s="55"/>
      <c r="CW254" s="55"/>
      <c r="CX254" s="55"/>
      <c r="CY254" s="21">
        <f t="shared" ref="CY254:CY278" si="381">(CT254+4*CU254+2*CV254+4*CW254+CX254)*AN254/12</f>
        <v>0</v>
      </c>
      <c r="CZ254" s="56"/>
      <c r="DA254" s="56"/>
      <c r="DB254" s="56"/>
      <c r="DC254" s="56"/>
      <c r="DD254" s="61">
        <f t="shared" si="313"/>
        <v>0</v>
      </c>
      <c r="DE254" s="21">
        <f t="shared" si="314"/>
        <v>0</v>
      </c>
      <c r="DF254" s="55">
        <v>9</v>
      </c>
      <c r="DG254" s="55">
        <v>3</v>
      </c>
      <c r="DH254" s="55">
        <v>4.5</v>
      </c>
      <c r="DI254" s="55"/>
      <c r="DJ254" s="104"/>
      <c r="DK254" s="53"/>
      <c r="DM254" s="58">
        <f t="shared" si="369"/>
        <v>416.43342719999993</v>
      </c>
      <c r="DN254" s="58">
        <f t="shared" ref="DN254:DN285" si="382">IF(wsex,0.5*wsex*width+(rwex-wsex)*width+trapeze*(rwex-wsex)/crew,0.5*(wsin-6)*width+(rwin-wsin)*width+trapeze*(rwin-wsin)/crew)</f>
        <v>510</v>
      </c>
      <c r="DO254" s="21">
        <f t="shared" ref="DO254:DO285" si="383">righting/heeling</f>
        <v>1.2246855480097254</v>
      </c>
      <c r="DP254" s="62">
        <f t="shared" si="368"/>
        <v>1</v>
      </c>
      <c r="DQ254" s="7">
        <v>0</v>
      </c>
      <c r="DR254" s="107">
        <f t="shared" si="370"/>
        <v>0</v>
      </c>
    </row>
    <row r="255" spans="1:122" ht="12.75" customHeight="1" x14ac:dyDescent="0.2">
      <c r="A255" s="53" t="s">
        <v>445</v>
      </c>
      <c r="B255" s="54">
        <v>2</v>
      </c>
      <c r="C255" s="92">
        <f t="shared" si="351"/>
        <v>130.32876754804053</v>
      </c>
      <c r="D255" s="92">
        <f t="shared" si="352"/>
        <v>122.39010715350594</v>
      </c>
      <c r="E255" s="92">
        <f>VLOOKUP(A255,[3]TRTOTAL!$A$7:$D$313,3,FALSE)</f>
        <v>130.32876754804053</v>
      </c>
      <c r="F255" s="92">
        <f>VLOOKUP(A255,[3]TRTOTAL!$A$7:$D$313,4,FALSE)</f>
        <v>122.39010715350594</v>
      </c>
      <c r="G255" s="92">
        <f t="shared" si="307"/>
        <v>0</v>
      </c>
      <c r="H255" s="92">
        <f t="shared" si="308"/>
        <v>0</v>
      </c>
      <c r="I255" s="54">
        <v>4.42</v>
      </c>
      <c r="J255" s="56">
        <v>4.2</v>
      </c>
      <c r="K255" s="54">
        <v>2</v>
      </c>
      <c r="L255" s="57">
        <v>2</v>
      </c>
      <c r="M255" s="57">
        <v>125</v>
      </c>
      <c r="N255" s="57"/>
      <c r="O255" s="87"/>
      <c r="P255" s="24">
        <f t="shared" si="350"/>
        <v>10</v>
      </c>
      <c r="Q255" s="24">
        <f t="shared" si="371"/>
        <v>6</v>
      </c>
      <c r="R255" s="24">
        <f t="shared" si="372"/>
        <v>2.9</v>
      </c>
      <c r="S255" s="87">
        <v>6.4</v>
      </c>
      <c r="T255" s="21">
        <f t="shared" si="373"/>
        <v>4</v>
      </c>
      <c r="U255" s="21"/>
      <c r="V255" s="24">
        <f t="shared" si="374"/>
        <v>1.7999999999999998</v>
      </c>
      <c r="W255" s="24">
        <f t="shared" si="375"/>
        <v>1.9599999999999997</v>
      </c>
      <c r="X255" s="24">
        <f t="shared" si="376"/>
        <v>2.6030820491461899</v>
      </c>
      <c r="Y255" s="25">
        <f t="shared" si="315"/>
        <v>1</v>
      </c>
      <c r="Z255" s="24">
        <f t="shared" si="310"/>
        <v>8.9273211827447003</v>
      </c>
      <c r="AA255" s="21">
        <f t="shared" si="377"/>
        <v>0</v>
      </c>
      <c r="AB255" s="24">
        <f t="shared" si="322"/>
        <v>2.61</v>
      </c>
      <c r="AC255" s="24">
        <f t="shared" si="331"/>
        <v>13.748021182744699</v>
      </c>
      <c r="AD255" s="58">
        <f t="shared" si="378"/>
        <v>265</v>
      </c>
      <c r="AE255" s="58">
        <f t="shared" si="379"/>
        <v>271</v>
      </c>
      <c r="AF255" s="21">
        <f t="shared" si="316"/>
        <v>2.5499999999999998</v>
      </c>
      <c r="AG255" s="77">
        <f t="shared" si="317"/>
        <v>0</v>
      </c>
      <c r="AH255" s="114">
        <f t="shared" si="311"/>
        <v>1</v>
      </c>
      <c r="AI255" s="59">
        <f t="shared" si="318"/>
        <v>130.32876754804053</v>
      </c>
      <c r="AJ255" s="59">
        <f t="shared" si="319"/>
        <v>122.39010715350594</v>
      </c>
      <c r="AK255" s="55"/>
      <c r="AL255" s="55"/>
      <c r="AM255" s="21">
        <f t="shared" si="380"/>
        <v>0</v>
      </c>
      <c r="AN255" s="54">
        <v>6</v>
      </c>
      <c r="AO255" s="55"/>
      <c r="AP255" s="21">
        <f t="shared" si="347"/>
        <v>0</v>
      </c>
      <c r="AQ255" s="55"/>
      <c r="AR255" s="55"/>
      <c r="AS255" s="21">
        <f t="shared" si="355"/>
        <v>0</v>
      </c>
      <c r="AT255" s="54"/>
      <c r="AU255" s="54"/>
      <c r="AV255" s="21">
        <f t="shared" si="356"/>
        <v>0</v>
      </c>
      <c r="AW255" s="54"/>
      <c r="AX255" s="54"/>
      <c r="AY255" s="21">
        <f t="shared" si="357"/>
        <v>0</v>
      </c>
      <c r="AZ255" s="54"/>
      <c r="BA255" s="54"/>
      <c r="BB255" s="21">
        <f t="shared" si="358"/>
        <v>0</v>
      </c>
      <c r="BC255" s="54"/>
      <c r="BD255" s="54"/>
      <c r="BE255" s="21">
        <f t="shared" si="359"/>
        <v>0</v>
      </c>
      <c r="BF255" s="55"/>
      <c r="BG255" s="55"/>
      <c r="BH255" s="21">
        <f t="shared" si="360"/>
        <v>0</v>
      </c>
      <c r="BI255" s="55"/>
      <c r="BJ255" s="55"/>
      <c r="BK255" s="21">
        <f t="shared" si="361"/>
        <v>0</v>
      </c>
      <c r="BL255" s="55"/>
      <c r="BM255" s="55"/>
      <c r="BN255" s="21">
        <f t="shared" si="362"/>
        <v>0</v>
      </c>
      <c r="BO255" s="55"/>
      <c r="BP255" s="55"/>
      <c r="BQ255" s="21">
        <f t="shared" si="363"/>
        <v>0</v>
      </c>
      <c r="BR255" s="55"/>
      <c r="BS255" s="21">
        <f t="shared" si="348"/>
        <v>0</v>
      </c>
      <c r="BT255" s="56">
        <v>0</v>
      </c>
      <c r="BU255" s="56"/>
      <c r="BV255" s="21">
        <f t="shared" si="364"/>
        <v>0</v>
      </c>
      <c r="BW255" s="77">
        <f t="shared" si="323"/>
        <v>0</v>
      </c>
      <c r="BX255" s="55"/>
      <c r="BY255" s="21">
        <f t="shared" si="365"/>
        <v>0</v>
      </c>
      <c r="BZ255" s="55"/>
      <c r="CA255" s="55"/>
      <c r="CB255" s="21">
        <f t="shared" si="366"/>
        <v>0</v>
      </c>
      <c r="CC255" s="54"/>
      <c r="CD255" s="54"/>
      <c r="CE255" s="21">
        <f t="shared" si="367"/>
        <v>0</v>
      </c>
      <c r="CF255" s="21"/>
      <c r="CG255" s="21"/>
      <c r="CH255" s="21">
        <f t="shared" si="324"/>
        <v>0</v>
      </c>
      <c r="CI255" s="25">
        <f t="shared" si="312"/>
        <v>2.9</v>
      </c>
      <c r="CJ255" s="54"/>
      <c r="CK255" s="21">
        <f t="shared" si="349"/>
        <v>0</v>
      </c>
      <c r="CL255" s="55"/>
      <c r="CM255" s="55"/>
      <c r="CN255" s="60"/>
      <c r="CO255" s="55"/>
      <c r="CP255" s="55"/>
      <c r="CQ255" s="55"/>
      <c r="CR255" s="55"/>
      <c r="CS255" s="55"/>
      <c r="CT255" s="55"/>
      <c r="CU255" s="55"/>
      <c r="CV255" s="55"/>
      <c r="CW255" s="55"/>
      <c r="CX255" s="55"/>
      <c r="CY255" s="21">
        <f t="shared" si="381"/>
        <v>0</v>
      </c>
      <c r="CZ255" s="56"/>
      <c r="DA255" s="56"/>
      <c r="DB255" s="56"/>
      <c r="DC255" s="56"/>
      <c r="DD255" s="61">
        <f t="shared" si="313"/>
        <v>0</v>
      </c>
      <c r="DE255" s="21">
        <f t="shared" si="314"/>
        <v>0</v>
      </c>
      <c r="DF255" s="55">
        <v>10</v>
      </c>
      <c r="DG255" s="55">
        <v>2.9</v>
      </c>
      <c r="DH255" s="55">
        <v>4</v>
      </c>
      <c r="DI255" s="55"/>
      <c r="DJ255" s="104"/>
      <c r="DK255" s="53"/>
      <c r="DM255" s="58">
        <f t="shared" si="369"/>
        <v>406.85589504000001</v>
      </c>
      <c r="DN255" s="58">
        <f t="shared" si="382"/>
        <v>545</v>
      </c>
      <c r="DO255" s="21">
        <f t="shared" si="383"/>
        <v>1.3395406251798769</v>
      </c>
      <c r="DP255" s="62">
        <f t="shared" si="368"/>
        <v>1</v>
      </c>
      <c r="DQ255" s="7">
        <v>0</v>
      </c>
      <c r="DR255" s="107">
        <f t="shared" si="370"/>
        <v>0</v>
      </c>
    </row>
    <row r="256" spans="1:122" ht="12.75" customHeight="1" x14ac:dyDescent="0.2">
      <c r="A256" s="53" t="s">
        <v>446</v>
      </c>
      <c r="B256" s="54">
        <v>2</v>
      </c>
      <c r="C256" s="92">
        <f t="shared" si="351"/>
        <v>108.72515886717628</v>
      </c>
      <c r="D256" s="92">
        <f t="shared" si="352"/>
        <v>102.22515605362871</v>
      </c>
      <c r="E256" s="92">
        <f>VLOOKUP(A256,[3]TRTOTAL!$A$7:$D$313,3,FALSE)</f>
        <v>108.72515886717628</v>
      </c>
      <c r="F256" s="92">
        <f>VLOOKUP(A256,[3]TRTOTAL!$A$7:$D$313,4,FALSE)</f>
        <v>102.22515605362871</v>
      </c>
      <c r="G256" s="92">
        <f t="shared" si="307"/>
        <v>0</v>
      </c>
      <c r="H256" s="92">
        <f t="shared" si="308"/>
        <v>0</v>
      </c>
      <c r="I256" s="54">
        <v>5.7</v>
      </c>
      <c r="J256" s="56">
        <v>5.7</v>
      </c>
      <c r="K256" s="54">
        <v>2.5</v>
      </c>
      <c r="L256" s="57">
        <v>2</v>
      </c>
      <c r="M256" s="57">
        <v>139</v>
      </c>
      <c r="N256" s="57"/>
      <c r="O256" s="87"/>
      <c r="P256" s="24">
        <f t="shared" si="350"/>
        <v>17.693693833333334</v>
      </c>
      <c r="Q256" s="24">
        <f t="shared" si="371"/>
        <v>9.56</v>
      </c>
      <c r="R256" s="24">
        <f t="shared" si="372"/>
        <v>0</v>
      </c>
      <c r="S256" s="87">
        <v>10</v>
      </c>
      <c r="T256" s="21">
        <f t="shared" si="373"/>
        <v>0</v>
      </c>
      <c r="U256" s="21"/>
      <c r="V256" s="24">
        <f t="shared" si="374"/>
        <v>2.2629999999999999</v>
      </c>
      <c r="W256" s="24">
        <f t="shared" si="375"/>
        <v>2.448</v>
      </c>
      <c r="X256" s="24">
        <f t="shared" si="376"/>
        <v>2.9525392599623368</v>
      </c>
      <c r="Y256" s="25">
        <f t="shared" si="315"/>
        <v>1</v>
      </c>
      <c r="Z256" s="24">
        <f t="shared" si="310"/>
        <v>16.404085157082307</v>
      </c>
      <c r="AA256" s="21">
        <f t="shared" si="377"/>
        <v>0</v>
      </c>
      <c r="AB256" s="24">
        <f t="shared" si="322"/>
        <v>0</v>
      </c>
      <c r="AC256" s="24">
        <f t="shared" si="331"/>
        <v>19.459585157082305</v>
      </c>
      <c r="AD256" s="58">
        <f t="shared" si="378"/>
        <v>289</v>
      </c>
      <c r="AE256" s="58">
        <f t="shared" si="379"/>
        <v>295</v>
      </c>
      <c r="AF256" s="21">
        <f t="shared" si="316"/>
        <v>3.0554999999999999</v>
      </c>
      <c r="AG256" s="77">
        <f t="shared" si="317"/>
        <v>0</v>
      </c>
      <c r="AH256" s="114">
        <f t="shared" si="311"/>
        <v>1</v>
      </c>
      <c r="AI256" s="59">
        <f t="shared" si="318"/>
        <v>106.25532299172164</v>
      </c>
      <c r="AJ256" s="59">
        <f t="shared" si="319"/>
        <v>99.902976344481161</v>
      </c>
      <c r="AK256" s="55">
        <v>9.56</v>
      </c>
      <c r="AL256" s="55">
        <v>2.2629999999999999</v>
      </c>
      <c r="AM256" s="21">
        <f t="shared" si="380"/>
        <v>10.81714</v>
      </c>
      <c r="AN256" s="54">
        <v>9.56</v>
      </c>
      <c r="AO256" s="55">
        <v>0.13300000000000001</v>
      </c>
      <c r="AP256" s="21">
        <f t="shared" si="347"/>
        <v>0.84765333333333348</v>
      </c>
      <c r="AQ256" s="55">
        <v>2.3370000000000002</v>
      </c>
      <c r="AR256" s="55">
        <v>4.2000000000000003E-2</v>
      </c>
      <c r="AS256" s="21">
        <f t="shared" si="355"/>
        <v>6.5436000000000008E-2</v>
      </c>
      <c r="AT256" s="54">
        <v>9.2530000000000001</v>
      </c>
      <c r="AU256" s="54">
        <v>0.53300000000000003</v>
      </c>
      <c r="AV256" s="21">
        <f t="shared" si="356"/>
        <v>2.4659245000000003</v>
      </c>
      <c r="AW256" s="54"/>
      <c r="AX256" s="54"/>
      <c r="AY256" s="21">
        <f t="shared" si="357"/>
        <v>0</v>
      </c>
      <c r="AZ256" s="54">
        <v>9.1530000000000005</v>
      </c>
      <c r="BA256" s="54">
        <v>0.27</v>
      </c>
      <c r="BB256" s="21">
        <f t="shared" si="358"/>
        <v>1.6475400000000002</v>
      </c>
      <c r="BC256" s="54"/>
      <c r="BD256" s="54"/>
      <c r="BE256" s="21">
        <f t="shared" si="359"/>
        <v>0</v>
      </c>
      <c r="BF256" s="55"/>
      <c r="BG256" s="55"/>
      <c r="BH256" s="21">
        <f t="shared" si="360"/>
        <v>0</v>
      </c>
      <c r="BI256" s="55"/>
      <c r="BJ256" s="55"/>
      <c r="BK256" s="21">
        <f t="shared" si="361"/>
        <v>0</v>
      </c>
      <c r="BL256" s="55"/>
      <c r="BM256" s="55"/>
      <c r="BN256" s="21">
        <f t="shared" si="362"/>
        <v>0</v>
      </c>
      <c r="BO256" s="55"/>
      <c r="BP256" s="55"/>
      <c r="BQ256" s="21">
        <f t="shared" si="363"/>
        <v>0</v>
      </c>
      <c r="BR256" s="55"/>
      <c r="BS256" s="21">
        <f t="shared" si="348"/>
        <v>15.843693833333333</v>
      </c>
      <c r="BT256" s="56">
        <v>0</v>
      </c>
      <c r="BU256" s="56"/>
      <c r="BV256" s="21">
        <f t="shared" si="364"/>
        <v>0</v>
      </c>
      <c r="BW256" s="77">
        <f t="shared" si="323"/>
        <v>0</v>
      </c>
      <c r="BX256" s="55"/>
      <c r="BY256" s="21">
        <f t="shared" si="365"/>
        <v>0</v>
      </c>
      <c r="BZ256" s="55"/>
      <c r="CA256" s="55"/>
      <c r="CB256" s="21">
        <f t="shared" si="366"/>
        <v>0</v>
      </c>
      <c r="CC256" s="54"/>
      <c r="CD256" s="54"/>
      <c r="CE256" s="21">
        <f t="shared" si="367"/>
        <v>0</v>
      </c>
      <c r="CF256" s="21"/>
      <c r="CG256" s="21"/>
      <c r="CH256" s="21">
        <f t="shared" si="324"/>
        <v>0</v>
      </c>
      <c r="CI256" s="25">
        <f t="shared" si="312"/>
        <v>0</v>
      </c>
      <c r="CJ256" s="54">
        <v>0.37</v>
      </c>
      <c r="CK256" s="21">
        <f t="shared" si="349"/>
        <v>1.85</v>
      </c>
      <c r="CL256" s="55" t="s">
        <v>447</v>
      </c>
      <c r="CM256" s="55"/>
      <c r="CN256" s="60"/>
      <c r="CO256" s="55" t="s">
        <v>162</v>
      </c>
      <c r="CP256" s="55"/>
      <c r="CQ256" s="55"/>
      <c r="CR256" s="55"/>
      <c r="CS256" s="55"/>
      <c r="CT256" s="55"/>
      <c r="CU256" s="55"/>
      <c r="CV256" s="55"/>
      <c r="CW256" s="55"/>
      <c r="CX256" s="55"/>
      <c r="CY256" s="21">
        <f t="shared" si="381"/>
        <v>0</v>
      </c>
      <c r="CZ256" s="56">
        <v>3.83</v>
      </c>
      <c r="DA256" s="56">
        <v>8.42</v>
      </c>
      <c r="DB256" s="56">
        <v>7.1</v>
      </c>
      <c r="DC256" s="56">
        <v>2.98</v>
      </c>
      <c r="DD256" s="61">
        <f t="shared" si="313"/>
        <v>0.77806788511749347</v>
      </c>
      <c r="DE256" s="21">
        <f t="shared" si="314"/>
        <v>20.37</v>
      </c>
      <c r="DF256" s="55"/>
      <c r="DG256" s="55"/>
      <c r="DH256" s="55"/>
      <c r="DI256" s="55"/>
      <c r="DJ256" s="104"/>
      <c r="DK256" s="53"/>
      <c r="DM256" s="58">
        <f t="shared" si="369"/>
        <v>861.0794628164449</v>
      </c>
      <c r="DN256" s="58">
        <f t="shared" si="382"/>
        <v>698.75</v>
      </c>
      <c r="DO256" s="21">
        <f t="shared" si="383"/>
        <v>0.81148143716551691</v>
      </c>
      <c r="DP256" s="62">
        <f t="shared" si="368"/>
        <v>1.0232443496091679</v>
      </c>
      <c r="DQ256" s="7">
        <v>0</v>
      </c>
      <c r="DR256" s="107">
        <f t="shared" si="370"/>
        <v>0</v>
      </c>
    </row>
    <row r="257" spans="1:122" ht="12.75" customHeight="1" x14ac:dyDescent="0.2">
      <c r="A257" s="53" t="s">
        <v>448</v>
      </c>
      <c r="B257" s="54">
        <v>2</v>
      </c>
      <c r="C257" s="92">
        <f t="shared" si="351"/>
        <v>110.3920570760412</v>
      </c>
      <c r="D257" s="92">
        <f t="shared" si="352"/>
        <v>105.30000268427233</v>
      </c>
      <c r="E257" s="92">
        <f>VLOOKUP(A257,[3]TRTOTAL!$A$7:$D$313,3,FALSE)</f>
        <v>110.3920570760412</v>
      </c>
      <c r="F257" s="92">
        <f>VLOOKUP(A257,[3]TRTOTAL!$A$7:$D$313,4,FALSE)</f>
        <v>105.30000268427233</v>
      </c>
      <c r="G257" s="92">
        <f t="shared" si="307"/>
        <v>0</v>
      </c>
      <c r="H257" s="92">
        <f t="shared" si="308"/>
        <v>0</v>
      </c>
      <c r="I257" s="54">
        <v>5.18</v>
      </c>
      <c r="J257" s="56">
        <v>5.0999999999999996</v>
      </c>
      <c r="K257" s="54">
        <v>2.5</v>
      </c>
      <c r="L257" s="57">
        <v>2</v>
      </c>
      <c r="M257" s="57">
        <v>150</v>
      </c>
      <c r="N257" s="57"/>
      <c r="O257" s="87"/>
      <c r="P257" s="24">
        <f t="shared" si="350"/>
        <v>13.8</v>
      </c>
      <c r="Q257" s="24">
        <f t="shared" si="371"/>
        <v>8.1</v>
      </c>
      <c r="R257" s="24">
        <f t="shared" si="372"/>
        <v>6.1</v>
      </c>
      <c r="S257" s="87">
        <v>8.5</v>
      </c>
      <c r="T257" s="21">
        <f t="shared" si="373"/>
        <v>5.4</v>
      </c>
      <c r="U257" s="21"/>
      <c r="V257" s="24">
        <f t="shared" si="374"/>
        <v>2.4299999999999997</v>
      </c>
      <c r="W257" s="24">
        <f t="shared" si="375"/>
        <v>2.59</v>
      </c>
      <c r="X257" s="24">
        <f t="shared" si="376"/>
        <v>2.0572144124267679</v>
      </c>
      <c r="Y257" s="25">
        <f t="shared" si="315"/>
        <v>1</v>
      </c>
      <c r="Z257" s="24">
        <f t="shared" si="310"/>
        <v>11.479890790093505</v>
      </c>
      <c r="AA257" s="21">
        <f t="shared" si="377"/>
        <v>0</v>
      </c>
      <c r="AB257" s="24">
        <f t="shared" si="322"/>
        <v>5.49</v>
      </c>
      <c r="AC257" s="24">
        <f t="shared" si="331"/>
        <v>19.406190790093504</v>
      </c>
      <c r="AD257" s="58">
        <f t="shared" si="378"/>
        <v>300</v>
      </c>
      <c r="AE257" s="58">
        <f t="shared" si="379"/>
        <v>306</v>
      </c>
      <c r="AF257" s="21">
        <f t="shared" si="316"/>
        <v>3.15</v>
      </c>
      <c r="AG257" s="77">
        <f t="shared" si="317"/>
        <v>0</v>
      </c>
      <c r="AH257" s="114">
        <f t="shared" si="311"/>
        <v>1</v>
      </c>
      <c r="AI257" s="59">
        <f t="shared" si="318"/>
        <v>109.70436188742747</v>
      </c>
      <c r="AJ257" s="59">
        <f t="shared" si="319"/>
        <v>104.64402881146819</v>
      </c>
      <c r="AK257" s="55"/>
      <c r="AL257" s="55"/>
      <c r="AM257" s="21">
        <f t="shared" si="380"/>
        <v>0</v>
      </c>
      <c r="AN257" s="54">
        <v>8.1</v>
      </c>
      <c r="AO257" s="55"/>
      <c r="AP257" s="21">
        <f t="shared" ref="AP257:AP271" si="384">AN257*AO257*2/3</f>
        <v>0</v>
      </c>
      <c r="AQ257" s="55"/>
      <c r="AR257" s="55"/>
      <c r="AS257" s="21">
        <f t="shared" si="355"/>
        <v>0</v>
      </c>
      <c r="AT257" s="54"/>
      <c r="AU257" s="54"/>
      <c r="AV257" s="21">
        <f t="shared" si="356"/>
        <v>0</v>
      </c>
      <c r="AW257" s="54"/>
      <c r="AX257" s="54"/>
      <c r="AY257" s="21">
        <f t="shared" si="357"/>
        <v>0</v>
      </c>
      <c r="AZ257" s="54"/>
      <c r="BA257" s="54"/>
      <c r="BB257" s="21">
        <f t="shared" si="358"/>
        <v>0</v>
      </c>
      <c r="BC257" s="54"/>
      <c r="BD257" s="54"/>
      <c r="BE257" s="21">
        <f t="shared" si="359"/>
        <v>0</v>
      </c>
      <c r="BF257" s="55"/>
      <c r="BG257" s="55"/>
      <c r="BH257" s="21">
        <f t="shared" si="360"/>
        <v>0</v>
      </c>
      <c r="BI257" s="55"/>
      <c r="BJ257" s="55"/>
      <c r="BK257" s="21">
        <f t="shared" si="361"/>
        <v>0</v>
      </c>
      <c r="BL257" s="55"/>
      <c r="BM257" s="55"/>
      <c r="BN257" s="21">
        <f t="shared" si="362"/>
        <v>0</v>
      </c>
      <c r="BO257" s="55"/>
      <c r="BP257" s="55"/>
      <c r="BQ257" s="21">
        <f t="shared" si="363"/>
        <v>0</v>
      </c>
      <c r="BR257" s="55"/>
      <c r="BS257" s="21">
        <f t="shared" ref="BS257:BS288" si="385">AM257+AP257+AS257+AV257+AY257+BB257+BE257+BH257+BK257+BN257+BQ257</f>
        <v>0</v>
      </c>
      <c r="BT257" s="56">
        <v>0</v>
      </c>
      <c r="BU257" s="56"/>
      <c r="BV257" s="21">
        <f t="shared" si="364"/>
        <v>0</v>
      </c>
      <c r="BW257" s="77">
        <f t="shared" si="323"/>
        <v>0</v>
      </c>
      <c r="BX257" s="55"/>
      <c r="BY257" s="21">
        <f t="shared" si="365"/>
        <v>0</v>
      </c>
      <c r="BZ257" s="55"/>
      <c r="CA257" s="55"/>
      <c r="CB257" s="21">
        <f t="shared" si="366"/>
        <v>0</v>
      </c>
      <c r="CC257" s="55"/>
      <c r="CD257" s="55"/>
      <c r="CE257" s="21">
        <f t="shared" si="367"/>
        <v>0</v>
      </c>
      <c r="CF257" s="21"/>
      <c r="CG257" s="21"/>
      <c r="CH257" s="21">
        <f t="shared" si="324"/>
        <v>0</v>
      </c>
      <c r="CI257" s="25">
        <f t="shared" si="312"/>
        <v>6.1</v>
      </c>
      <c r="CJ257" s="54"/>
      <c r="CK257" s="21">
        <f t="shared" ref="CK257:CK288" si="386">MastLength*circMast*0.5</f>
        <v>0</v>
      </c>
      <c r="CL257" s="55"/>
      <c r="CM257" s="55"/>
      <c r="CN257" s="60"/>
      <c r="CO257" s="55"/>
      <c r="CP257" s="55"/>
      <c r="CQ257" s="55"/>
      <c r="CR257" s="55"/>
      <c r="CS257" s="55"/>
      <c r="CT257" s="55"/>
      <c r="CU257" s="55"/>
      <c r="CV257" s="55"/>
      <c r="CW257" s="55"/>
      <c r="CX257" s="55"/>
      <c r="CY257" s="21">
        <f t="shared" si="381"/>
        <v>0</v>
      </c>
      <c r="CZ257" s="56"/>
      <c r="DA257" s="56"/>
      <c r="DB257" s="56"/>
      <c r="DC257" s="56"/>
      <c r="DD257" s="61">
        <f t="shared" si="313"/>
        <v>0</v>
      </c>
      <c r="DE257" s="21">
        <f t="shared" si="314"/>
        <v>0</v>
      </c>
      <c r="DF257" s="55">
        <v>13.8</v>
      </c>
      <c r="DG257" s="55">
        <v>6.1</v>
      </c>
      <c r="DH257" s="55">
        <v>5.4</v>
      </c>
      <c r="DI257" s="55"/>
      <c r="DJ257" s="104"/>
      <c r="DK257" s="53"/>
      <c r="DM257" s="58">
        <f t="shared" si="369"/>
        <v>754.14866150399973</v>
      </c>
      <c r="DN257" s="58">
        <f t="shared" si="382"/>
        <v>712.5</v>
      </c>
      <c r="DO257" s="21">
        <f t="shared" si="383"/>
        <v>0.94477393698353884</v>
      </c>
      <c r="DP257" s="62">
        <f t="shared" si="368"/>
        <v>1.006268622111119</v>
      </c>
      <c r="DQ257" s="7">
        <v>0</v>
      </c>
      <c r="DR257" s="107">
        <f t="shared" si="370"/>
        <v>0</v>
      </c>
    </row>
    <row r="258" spans="1:122" ht="12.75" customHeight="1" x14ac:dyDescent="0.2">
      <c r="A258" s="53" t="s">
        <v>449</v>
      </c>
      <c r="B258" s="54">
        <v>2</v>
      </c>
      <c r="C258" s="92">
        <f t="shared" si="351"/>
        <v>108.19314789314026</v>
      </c>
      <c r="D258" s="92">
        <f t="shared" si="352"/>
        <v>103.05384294419626</v>
      </c>
      <c r="E258" s="92">
        <f>VLOOKUP(A258,[3]TRTOTAL!$A$7:$D$313,3,FALSE)</f>
        <v>108.19314789314026</v>
      </c>
      <c r="F258" s="92">
        <f>VLOOKUP(A258,[3]TRTOTAL!$A$7:$D$313,4,FALSE)</f>
        <v>103.05384294419626</v>
      </c>
      <c r="G258" s="92">
        <f t="shared" si="307"/>
        <v>0</v>
      </c>
      <c r="H258" s="92">
        <f t="shared" si="308"/>
        <v>0</v>
      </c>
      <c r="I258" s="54">
        <v>5.47</v>
      </c>
      <c r="J258" s="56">
        <v>5.35</v>
      </c>
      <c r="K258" s="54">
        <v>2.5</v>
      </c>
      <c r="L258" s="57">
        <v>2</v>
      </c>
      <c r="M258" s="57">
        <v>163</v>
      </c>
      <c r="N258" s="57"/>
      <c r="O258" s="87"/>
      <c r="P258" s="24">
        <f t="shared" si="350"/>
        <v>16.860250000000001</v>
      </c>
      <c r="Q258" s="24">
        <f t="shared" si="371"/>
        <v>8.77</v>
      </c>
      <c r="R258" s="24">
        <f t="shared" si="372"/>
        <v>4.1503999999999994</v>
      </c>
      <c r="S258" s="87">
        <v>9</v>
      </c>
      <c r="T258" s="21">
        <f t="shared" si="373"/>
        <v>5.1512000000000002</v>
      </c>
      <c r="U258" s="21"/>
      <c r="V258" s="24">
        <f t="shared" si="374"/>
        <v>2.37</v>
      </c>
      <c r="W258" s="24">
        <f t="shared" si="375"/>
        <v>2.54</v>
      </c>
      <c r="X258" s="24">
        <f t="shared" si="376"/>
        <v>2.6133439766879536</v>
      </c>
      <c r="Y258" s="25">
        <f t="shared" si="315"/>
        <v>1</v>
      </c>
      <c r="Z258" s="24">
        <f t="shared" si="310"/>
        <v>15.069463317772719</v>
      </c>
      <c r="AA258" s="21">
        <f t="shared" si="377"/>
        <v>1.5061692553345913</v>
      </c>
      <c r="AB258" s="24">
        <f t="shared" si="322"/>
        <v>3.3789719326447396</v>
      </c>
      <c r="AC258" s="24">
        <f t="shared" si="331"/>
        <v>21.15916889917364</v>
      </c>
      <c r="AD258" s="58">
        <f t="shared" si="378"/>
        <v>313</v>
      </c>
      <c r="AE258" s="58">
        <f t="shared" si="379"/>
        <v>319</v>
      </c>
      <c r="AF258" s="21">
        <f t="shared" si="316"/>
        <v>3.15</v>
      </c>
      <c r="AG258" s="77">
        <f t="shared" si="317"/>
        <v>0</v>
      </c>
      <c r="AH258" s="114">
        <f t="shared" si="311"/>
        <v>1</v>
      </c>
      <c r="AI258" s="59">
        <f t="shared" si="318"/>
        <v>106.03863296228647</v>
      </c>
      <c r="AJ258" s="59">
        <f t="shared" si="319"/>
        <v>101.00167006976962</v>
      </c>
      <c r="AK258" s="55">
        <v>8.77</v>
      </c>
      <c r="AL258" s="55">
        <v>2.37</v>
      </c>
      <c r="AM258" s="21">
        <f t="shared" si="380"/>
        <v>10.39245</v>
      </c>
      <c r="AN258" s="54">
        <v>8.77</v>
      </c>
      <c r="AO258" s="55">
        <v>0.15</v>
      </c>
      <c r="AP258" s="21">
        <f t="shared" si="384"/>
        <v>0.87699999999999989</v>
      </c>
      <c r="AQ258" s="55"/>
      <c r="AR258" s="55"/>
      <c r="AS258" s="21">
        <f t="shared" si="355"/>
        <v>0</v>
      </c>
      <c r="AT258" s="54">
        <v>8.64</v>
      </c>
      <c r="AU258" s="54">
        <v>0.66</v>
      </c>
      <c r="AV258" s="21">
        <f t="shared" si="356"/>
        <v>2.8512000000000004</v>
      </c>
      <c r="AW258" s="54"/>
      <c r="AX258" s="54"/>
      <c r="AY258" s="21">
        <f t="shared" si="357"/>
        <v>0</v>
      </c>
      <c r="AZ258" s="54">
        <v>6.33</v>
      </c>
      <c r="BA258" s="54">
        <v>0.23</v>
      </c>
      <c r="BB258" s="21">
        <f t="shared" si="358"/>
        <v>0.97060000000000002</v>
      </c>
      <c r="BC258" s="54"/>
      <c r="BD258" s="54"/>
      <c r="BE258" s="21">
        <f t="shared" si="359"/>
        <v>0</v>
      </c>
      <c r="BF258" s="55">
        <v>2.44</v>
      </c>
      <c r="BG258" s="55">
        <v>0.15</v>
      </c>
      <c r="BH258" s="21">
        <f t="shared" si="360"/>
        <v>0.183</v>
      </c>
      <c r="BI258" s="55">
        <v>1.2</v>
      </c>
      <c r="BJ258" s="55">
        <v>7.0000000000000007E-2</v>
      </c>
      <c r="BK258" s="21">
        <f t="shared" si="361"/>
        <v>5.6000000000000001E-2</v>
      </c>
      <c r="BL258" s="55"/>
      <c r="BM258" s="55"/>
      <c r="BN258" s="21">
        <f t="shared" si="362"/>
        <v>0</v>
      </c>
      <c r="BO258" s="55"/>
      <c r="BP258" s="55"/>
      <c r="BQ258" s="21">
        <f t="shared" si="363"/>
        <v>0</v>
      </c>
      <c r="BR258" s="55"/>
      <c r="BS258" s="21">
        <f t="shared" si="385"/>
        <v>15.330249999999999</v>
      </c>
      <c r="BT258" s="56">
        <v>5.48</v>
      </c>
      <c r="BU258" s="56">
        <v>1.66</v>
      </c>
      <c r="BV258" s="21">
        <f t="shared" si="364"/>
        <v>4.5484</v>
      </c>
      <c r="BW258" s="77">
        <f t="shared" si="323"/>
        <v>5.48</v>
      </c>
      <c r="BX258" s="55">
        <v>-0.04</v>
      </c>
      <c r="BY258" s="21">
        <f t="shared" si="365"/>
        <v>-0.14613333333333337</v>
      </c>
      <c r="BZ258" s="55">
        <v>4.9000000000000004</v>
      </c>
      <c r="CA258" s="55">
        <v>-0.1</v>
      </c>
      <c r="CB258" s="21">
        <f t="shared" si="366"/>
        <v>-0.32666666666666672</v>
      </c>
      <c r="CC258" s="54">
        <v>1.87</v>
      </c>
      <c r="CD258" s="54">
        <v>0.06</v>
      </c>
      <c r="CE258" s="21">
        <f t="shared" si="367"/>
        <v>7.4800000000000005E-2</v>
      </c>
      <c r="CF258" s="21"/>
      <c r="CG258" s="21"/>
      <c r="CH258" s="21">
        <f t="shared" si="324"/>
        <v>0</v>
      </c>
      <c r="CI258" s="25">
        <f t="shared" si="312"/>
        <v>4.1503999999999994</v>
      </c>
      <c r="CJ258" s="54">
        <v>0.34</v>
      </c>
      <c r="CK258" s="21">
        <f t="shared" si="386"/>
        <v>1.53</v>
      </c>
      <c r="CL258" s="55"/>
      <c r="CM258" s="55"/>
      <c r="CN258" s="60"/>
      <c r="CO258" s="55" t="s">
        <v>450</v>
      </c>
      <c r="CP258" s="55"/>
      <c r="CQ258" s="55"/>
      <c r="CR258" s="55"/>
      <c r="CS258" s="55"/>
      <c r="CT258" s="55"/>
      <c r="CU258" s="55"/>
      <c r="CV258" s="55"/>
      <c r="CW258" s="55"/>
      <c r="CX258" s="55"/>
      <c r="CY258" s="21">
        <f t="shared" si="381"/>
        <v>0</v>
      </c>
      <c r="CZ258" s="56"/>
      <c r="DA258" s="56"/>
      <c r="DB258" s="56"/>
      <c r="DC258" s="56"/>
      <c r="DD258" s="61">
        <f t="shared" si="313"/>
        <v>0</v>
      </c>
      <c r="DE258" s="21">
        <f t="shared" si="314"/>
        <v>0</v>
      </c>
      <c r="DF258" s="55"/>
      <c r="DG258" s="55"/>
      <c r="DH258" s="55"/>
      <c r="DI258" s="55"/>
      <c r="DJ258" s="104"/>
      <c r="DK258" s="53"/>
      <c r="DM258" s="58">
        <f t="shared" si="369"/>
        <v>874.97057083248671</v>
      </c>
      <c r="DN258" s="58">
        <f t="shared" si="382"/>
        <v>728.75</v>
      </c>
      <c r="DO258" s="21">
        <f t="shared" si="383"/>
        <v>0.83288515556201415</v>
      </c>
      <c r="DP258" s="62">
        <f t="shared" si="368"/>
        <v>1.0203182073426018</v>
      </c>
      <c r="DQ258" s="7" t="s">
        <v>130</v>
      </c>
      <c r="DR258" s="107">
        <f t="shared" si="370"/>
        <v>0</v>
      </c>
    </row>
    <row r="259" spans="1:122" ht="12.75" customHeight="1" x14ac:dyDescent="0.2">
      <c r="A259" s="53" t="s">
        <v>579</v>
      </c>
      <c r="B259" s="54">
        <v>1</v>
      </c>
      <c r="C259" s="92">
        <f t="shared" si="351"/>
        <v>121.4148792961615</v>
      </c>
      <c r="D259" s="92">
        <f t="shared" si="352"/>
        <v>116.92321681973934</v>
      </c>
      <c r="E259" s="92">
        <f>VLOOKUP(A259,[3]TRTOTAL!$A$7:$D$313,3,FALSE)</f>
        <v>121.4148792961615</v>
      </c>
      <c r="F259" s="92">
        <f>VLOOKUP(A259,[3]TRTOTAL!$A$7:$D$313,4,FALSE)</f>
        <v>116.92321681973934</v>
      </c>
      <c r="G259" s="92">
        <f t="shared" si="307"/>
        <v>0</v>
      </c>
      <c r="H259" s="92">
        <f t="shared" si="308"/>
        <v>0</v>
      </c>
      <c r="I259" s="54">
        <v>4.5</v>
      </c>
      <c r="J259" s="56">
        <v>4.5</v>
      </c>
      <c r="K259" s="54">
        <v>2.21</v>
      </c>
      <c r="L259" s="57">
        <v>1</v>
      </c>
      <c r="M259" s="57">
        <v>120</v>
      </c>
      <c r="N259" s="57"/>
      <c r="O259" s="87" t="s">
        <v>133</v>
      </c>
      <c r="P259" s="24">
        <f t="shared" ref="P259:P295" si="387">marea+areaMast+mssam+mareNoDet</f>
        <v>11</v>
      </c>
      <c r="Q259" s="24">
        <f t="shared" si="371"/>
        <v>6.4</v>
      </c>
      <c r="R259" s="24">
        <f t="shared" si="372"/>
        <v>2.3140000000000001</v>
      </c>
      <c r="S259" s="87">
        <v>7</v>
      </c>
      <c r="T259" s="21">
        <f t="shared" si="373"/>
        <v>4.5279999999999996</v>
      </c>
      <c r="U259" s="21"/>
      <c r="V259" s="24">
        <f t="shared" si="374"/>
        <v>1.92</v>
      </c>
      <c r="W259" s="24">
        <f t="shared" si="375"/>
        <v>2.08</v>
      </c>
      <c r="X259" s="24">
        <f t="shared" si="376"/>
        <v>2.5425295857988162</v>
      </c>
      <c r="Y259" s="25">
        <f t="shared" si="315"/>
        <v>1</v>
      </c>
      <c r="Z259" s="24">
        <f t="shared" si="310"/>
        <v>9.7509581484062</v>
      </c>
      <c r="AA259" s="21">
        <f t="shared" si="377"/>
        <v>0</v>
      </c>
      <c r="AB259" s="24">
        <f t="shared" si="322"/>
        <v>2.0826000000000002</v>
      </c>
      <c r="AC259" s="24">
        <f t="shared" si="331"/>
        <v>13.662820148406201</v>
      </c>
      <c r="AD259" s="58">
        <f t="shared" si="378"/>
        <v>195</v>
      </c>
      <c r="AE259" s="58">
        <f t="shared" si="379"/>
        <v>201</v>
      </c>
      <c r="AF259" s="21">
        <f t="shared" si="316"/>
        <v>2.1</v>
      </c>
      <c r="AG259" s="77">
        <f t="shared" si="317"/>
        <v>0</v>
      </c>
      <c r="AH259" s="114">
        <f t="shared" si="311"/>
        <v>1.04</v>
      </c>
      <c r="AI259" s="59">
        <f t="shared" si="318"/>
        <v>118.95613739329904</v>
      </c>
      <c r="AJ259" s="59">
        <f t="shared" si="319"/>
        <v>113.42122221148939</v>
      </c>
      <c r="AK259" s="55"/>
      <c r="AL259" s="55"/>
      <c r="AM259" s="21">
        <f t="shared" si="380"/>
        <v>0</v>
      </c>
      <c r="AN259" s="54">
        <v>6.4</v>
      </c>
      <c r="AO259" s="55"/>
      <c r="AP259" s="21">
        <f t="shared" si="384"/>
        <v>0</v>
      </c>
      <c r="AQ259" s="55"/>
      <c r="AR259" s="55"/>
      <c r="AS259" s="21">
        <f t="shared" si="355"/>
        <v>0</v>
      </c>
      <c r="AT259" s="54"/>
      <c r="AU259" s="54"/>
      <c r="AV259" s="21">
        <f t="shared" si="356"/>
        <v>0</v>
      </c>
      <c r="AW259" s="54"/>
      <c r="AX259" s="54"/>
      <c r="AY259" s="21">
        <f t="shared" si="357"/>
        <v>0</v>
      </c>
      <c r="AZ259" s="54"/>
      <c r="BA259" s="54"/>
      <c r="BB259" s="21">
        <f t="shared" si="358"/>
        <v>0</v>
      </c>
      <c r="BC259" s="54"/>
      <c r="BD259" s="54"/>
      <c r="BE259" s="21">
        <f t="shared" si="359"/>
        <v>0</v>
      </c>
      <c r="BF259" s="55"/>
      <c r="BG259" s="55"/>
      <c r="BH259" s="21">
        <f t="shared" si="360"/>
        <v>0</v>
      </c>
      <c r="BI259" s="55"/>
      <c r="BJ259" s="55"/>
      <c r="BK259" s="21">
        <f t="shared" si="361"/>
        <v>0</v>
      </c>
      <c r="BL259" s="55"/>
      <c r="BM259" s="55"/>
      <c r="BN259" s="21">
        <f t="shared" si="362"/>
        <v>0</v>
      </c>
      <c r="BO259" s="55"/>
      <c r="BP259" s="55"/>
      <c r="BQ259" s="21">
        <f t="shared" si="363"/>
        <v>0</v>
      </c>
      <c r="BR259" s="55"/>
      <c r="BS259" s="21">
        <f t="shared" si="385"/>
        <v>0</v>
      </c>
      <c r="BT259" s="56">
        <v>0</v>
      </c>
      <c r="BU259" s="56"/>
      <c r="BV259" s="21">
        <f t="shared" si="364"/>
        <v>0</v>
      </c>
      <c r="BW259" s="77">
        <f t="shared" si="323"/>
        <v>0</v>
      </c>
      <c r="BX259" s="55"/>
      <c r="BY259" s="21">
        <f t="shared" si="365"/>
        <v>0</v>
      </c>
      <c r="BZ259" s="55"/>
      <c r="CA259" s="55"/>
      <c r="CB259" s="21">
        <f t="shared" si="366"/>
        <v>0</v>
      </c>
      <c r="CC259" s="54"/>
      <c r="CD259" s="54"/>
      <c r="CE259" s="21">
        <f t="shared" si="367"/>
        <v>0</v>
      </c>
      <c r="CF259" s="21"/>
      <c r="CG259" s="21"/>
      <c r="CH259" s="21">
        <f t="shared" si="324"/>
        <v>0</v>
      </c>
      <c r="CI259" s="25">
        <f t="shared" si="312"/>
        <v>2.3140000000000001</v>
      </c>
      <c r="CJ259" s="54"/>
      <c r="CK259" s="21">
        <f t="shared" si="386"/>
        <v>0</v>
      </c>
      <c r="CL259" s="55"/>
      <c r="CM259" s="55"/>
      <c r="CN259" s="60"/>
      <c r="CO259" s="55"/>
      <c r="CP259" s="55"/>
      <c r="CQ259" s="55"/>
      <c r="CR259" s="55"/>
      <c r="CS259" s="55"/>
      <c r="CT259" s="55"/>
      <c r="CU259" s="55"/>
      <c r="CV259" s="55"/>
      <c r="CW259" s="55"/>
      <c r="CX259" s="55"/>
      <c r="CY259" s="21">
        <f t="shared" si="381"/>
        <v>0</v>
      </c>
      <c r="CZ259" s="56"/>
      <c r="DA259" s="56"/>
      <c r="DB259" s="56"/>
      <c r="DC259" s="56"/>
      <c r="DD259" s="61">
        <f t="shared" si="313"/>
        <v>0</v>
      </c>
      <c r="DE259" s="21">
        <f t="shared" si="314"/>
        <v>0</v>
      </c>
      <c r="DF259" s="55">
        <v>11</v>
      </c>
      <c r="DG259" s="55">
        <v>2.3140000000000001</v>
      </c>
      <c r="DH259" s="55">
        <v>4.5279999999999996</v>
      </c>
      <c r="DI259" s="55"/>
      <c r="DJ259" s="104"/>
      <c r="DK259" s="53" t="s">
        <v>534</v>
      </c>
      <c r="DM259" s="58">
        <f t="shared" si="369"/>
        <v>449.66534218260477</v>
      </c>
      <c r="DN259" s="58">
        <f t="shared" si="382"/>
        <v>373.35</v>
      </c>
      <c r="DO259" s="21">
        <f t="shared" si="383"/>
        <v>0.8302841357259555</v>
      </c>
      <c r="DP259" s="62">
        <f t="shared" si="368"/>
        <v>1.0206693152345157</v>
      </c>
      <c r="DQ259" s="7" t="s">
        <v>130</v>
      </c>
      <c r="DR259" s="107">
        <f t="shared" si="370"/>
        <v>0</v>
      </c>
    </row>
    <row r="260" spans="1:122" ht="12.75" customHeight="1" x14ac:dyDescent="0.2">
      <c r="A260" s="53" t="s">
        <v>451</v>
      </c>
      <c r="B260" s="54">
        <v>1</v>
      </c>
      <c r="C260" s="92">
        <f t="shared" si="351"/>
        <v>125.89667427126072</v>
      </c>
      <c r="D260" s="92">
        <f t="shared" si="352"/>
        <v>119.81564990392688</v>
      </c>
      <c r="E260" s="92">
        <f>VLOOKUP(A260,[3]TRTOTAL!$A$7:$D$313,3,FALSE)</f>
        <v>125.89667427126072</v>
      </c>
      <c r="F260" s="92">
        <f>VLOOKUP(A260,[3]TRTOTAL!$A$7:$D$313,4,FALSE)</f>
        <v>119.81564990392688</v>
      </c>
      <c r="G260" s="92">
        <f t="shared" si="307"/>
        <v>0</v>
      </c>
      <c r="H260" s="92">
        <f t="shared" si="308"/>
        <v>0</v>
      </c>
      <c r="I260" s="54">
        <v>4.7699999999999996</v>
      </c>
      <c r="J260" s="56">
        <v>4.55</v>
      </c>
      <c r="K260" s="54">
        <v>2</v>
      </c>
      <c r="L260" s="57">
        <v>1</v>
      </c>
      <c r="M260" s="57">
        <v>121</v>
      </c>
      <c r="N260" s="57"/>
      <c r="O260" s="87" t="s">
        <v>133</v>
      </c>
      <c r="P260" s="24">
        <f t="shared" si="387"/>
        <v>12.769999999999998</v>
      </c>
      <c r="Q260" s="24">
        <f t="shared" si="371"/>
        <v>6.6</v>
      </c>
      <c r="R260" s="24">
        <f t="shared" si="372"/>
        <v>0</v>
      </c>
      <c r="S260" s="87">
        <v>7</v>
      </c>
      <c r="T260" s="21">
        <f t="shared" si="373"/>
        <v>0</v>
      </c>
      <c r="U260" s="21"/>
      <c r="V260" s="24">
        <f t="shared" si="374"/>
        <v>2.15</v>
      </c>
      <c r="W260" s="24">
        <f t="shared" si="375"/>
        <v>2.3125</v>
      </c>
      <c r="X260" s="24">
        <f t="shared" si="376"/>
        <v>2.3879620160701238</v>
      </c>
      <c r="Y260" s="25">
        <f t="shared" si="315"/>
        <v>1</v>
      </c>
      <c r="Z260" s="24">
        <f t="shared" si="310"/>
        <v>11.108973334192873</v>
      </c>
      <c r="AA260" s="21">
        <f t="shared" si="377"/>
        <v>0</v>
      </c>
      <c r="AB260" s="24">
        <f t="shared" si="322"/>
        <v>0</v>
      </c>
      <c r="AC260" s="24">
        <f t="shared" si="331"/>
        <v>13.208973334192873</v>
      </c>
      <c r="AD260" s="58">
        <f t="shared" si="378"/>
        <v>196</v>
      </c>
      <c r="AE260" s="58">
        <f t="shared" si="379"/>
        <v>202</v>
      </c>
      <c r="AF260" s="21">
        <f t="shared" si="316"/>
        <v>2.1</v>
      </c>
      <c r="AG260" s="77">
        <f t="shared" si="317"/>
        <v>0</v>
      </c>
      <c r="AH260" s="114">
        <f t="shared" si="311"/>
        <v>1.04</v>
      </c>
      <c r="AI260" s="59">
        <f t="shared" si="318"/>
        <v>121.79956392807009</v>
      </c>
      <c r="AJ260" s="59">
        <f t="shared" si="319"/>
        <v>114.7687494922298</v>
      </c>
      <c r="AK260" s="55">
        <v>6.6</v>
      </c>
      <c r="AL260" s="55"/>
      <c r="AM260" s="21">
        <f t="shared" si="380"/>
        <v>0</v>
      </c>
      <c r="AN260" s="54">
        <v>6.6</v>
      </c>
      <c r="AO260" s="55"/>
      <c r="AP260" s="21">
        <f t="shared" si="384"/>
        <v>0</v>
      </c>
      <c r="AQ260" s="55"/>
      <c r="AR260" s="55"/>
      <c r="AS260" s="21">
        <f t="shared" si="355"/>
        <v>0</v>
      </c>
      <c r="AT260" s="54"/>
      <c r="AU260" s="54"/>
      <c r="AV260" s="21">
        <f t="shared" si="356"/>
        <v>0</v>
      </c>
      <c r="AW260" s="54"/>
      <c r="AX260" s="54"/>
      <c r="AY260" s="21">
        <f t="shared" si="357"/>
        <v>0</v>
      </c>
      <c r="AZ260" s="54"/>
      <c r="BA260" s="54"/>
      <c r="BB260" s="21">
        <f t="shared" si="358"/>
        <v>0</v>
      </c>
      <c r="BC260" s="54"/>
      <c r="BD260" s="54"/>
      <c r="BE260" s="21">
        <f t="shared" si="359"/>
        <v>0</v>
      </c>
      <c r="BF260" s="55"/>
      <c r="BG260" s="55"/>
      <c r="BH260" s="21">
        <f t="shared" si="360"/>
        <v>0</v>
      </c>
      <c r="BI260" s="55"/>
      <c r="BJ260" s="55"/>
      <c r="BK260" s="21">
        <f t="shared" si="361"/>
        <v>0</v>
      </c>
      <c r="BL260" s="55"/>
      <c r="BM260" s="55"/>
      <c r="BN260" s="21">
        <f t="shared" si="362"/>
        <v>0</v>
      </c>
      <c r="BO260" s="55"/>
      <c r="BP260" s="55"/>
      <c r="BQ260" s="21">
        <f t="shared" si="363"/>
        <v>0</v>
      </c>
      <c r="BR260" s="55"/>
      <c r="BS260" s="21">
        <f t="shared" si="385"/>
        <v>0</v>
      </c>
      <c r="BT260" s="56">
        <v>0</v>
      </c>
      <c r="BU260" s="56"/>
      <c r="BV260" s="21">
        <f t="shared" si="364"/>
        <v>0</v>
      </c>
      <c r="BW260" s="77">
        <f t="shared" si="323"/>
        <v>0</v>
      </c>
      <c r="BX260" s="55"/>
      <c r="BY260" s="21">
        <f t="shared" si="365"/>
        <v>0</v>
      </c>
      <c r="BZ260" s="55"/>
      <c r="CA260" s="55"/>
      <c r="CB260" s="21">
        <f t="shared" si="366"/>
        <v>0</v>
      </c>
      <c r="CC260" s="54"/>
      <c r="CD260" s="54"/>
      <c r="CE260" s="21">
        <f t="shared" si="367"/>
        <v>0</v>
      </c>
      <c r="CF260" s="21"/>
      <c r="CG260" s="21"/>
      <c r="CH260" s="21">
        <f t="shared" si="324"/>
        <v>0</v>
      </c>
      <c r="CI260" s="25">
        <f t="shared" si="312"/>
        <v>0</v>
      </c>
      <c r="CJ260" s="54">
        <v>0.32500000000000001</v>
      </c>
      <c r="CK260" s="21">
        <f t="shared" si="386"/>
        <v>1.1375</v>
      </c>
      <c r="CL260" s="55"/>
      <c r="CM260" s="55"/>
      <c r="CN260" s="60"/>
      <c r="CO260" s="55"/>
      <c r="CP260" s="55"/>
      <c r="CQ260" s="55"/>
      <c r="CR260" s="55"/>
      <c r="CS260" s="55"/>
      <c r="CT260" s="55">
        <v>0.06</v>
      </c>
      <c r="CU260" s="55">
        <v>1.56</v>
      </c>
      <c r="CV260" s="55">
        <v>2.0699999999999998</v>
      </c>
      <c r="CW260" s="55">
        <v>2.14</v>
      </c>
      <c r="CX260" s="55">
        <v>2.15</v>
      </c>
      <c r="CY260" s="21">
        <f t="shared" si="381"/>
        <v>11.632499999999999</v>
      </c>
      <c r="CZ260" s="56"/>
      <c r="DA260" s="56"/>
      <c r="DB260" s="56"/>
      <c r="DC260" s="56"/>
      <c r="DD260" s="61">
        <f t="shared" si="313"/>
        <v>0</v>
      </c>
      <c r="DE260" s="21">
        <f t="shared" si="314"/>
        <v>0</v>
      </c>
      <c r="DF260" s="55"/>
      <c r="DG260" s="55"/>
      <c r="DH260" s="55"/>
      <c r="DI260" s="55"/>
      <c r="DJ260" s="104"/>
      <c r="DK260" s="53"/>
      <c r="DM260" s="58">
        <f t="shared" si="369"/>
        <v>467.41112785919984</v>
      </c>
      <c r="DN260" s="58">
        <f t="shared" si="382"/>
        <v>346</v>
      </c>
      <c r="DO260" s="21">
        <f t="shared" si="383"/>
        <v>0.74024767357320387</v>
      </c>
      <c r="DP260" s="62">
        <f t="shared" si="368"/>
        <v>1.033638136386188</v>
      </c>
      <c r="DQ260" s="7" t="s">
        <v>130</v>
      </c>
      <c r="DR260" s="107">
        <f t="shared" si="370"/>
        <v>0</v>
      </c>
    </row>
    <row r="261" spans="1:122" ht="12.75" customHeight="1" x14ac:dyDescent="0.2">
      <c r="A261" s="53" t="s">
        <v>452</v>
      </c>
      <c r="B261" s="54">
        <v>2</v>
      </c>
      <c r="C261" s="92">
        <f t="shared" ref="C261:C295" si="388">AI261*PowerFactor</f>
        <v>126.36082304273646</v>
      </c>
      <c r="D261" s="92">
        <f t="shared" ref="D261:D295" si="389">AJ261*PowerFactor*IF(crew=1,1.01,1)</f>
        <v>119.51849272809994</v>
      </c>
      <c r="E261" s="92">
        <f>VLOOKUP(A261,[3]TRTOTAL!$A$7:$D$313,3,FALSE)</f>
        <v>126.36082304273646</v>
      </c>
      <c r="F261" s="92">
        <f>VLOOKUP(A261,[3]TRTOTAL!$A$7:$D$313,4,FALSE)</f>
        <v>119.51849272809994</v>
      </c>
      <c r="G261" s="92">
        <f t="shared" si="307"/>
        <v>0</v>
      </c>
      <c r="H261" s="92">
        <f t="shared" si="308"/>
        <v>0</v>
      </c>
      <c r="I261" s="54">
        <v>4.7699999999999996</v>
      </c>
      <c r="J261" s="56">
        <v>4.55</v>
      </c>
      <c r="K261" s="54">
        <v>2</v>
      </c>
      <c r="L261" s="57">
        <v>1</v>
      </c>
      <c r="M261" s="57">
        <v>124</v>
      </c>
      <c r="N261" s="57"/>
      <c r="O261" s="87" t="s">
        <v>133</v>
      </c>
      <c r="P261" s="24">
        <f t="shared" si="387"/>
        <v>12.769999999999998</v>
      </c>
      <c r="Q261" s="24">
        <f t="shared" si="371"/>
        <v>6.6</v>
      </c>
      <c r="R261" s="24">
        <f t="shared" si="372"/>
        <v>2.8644000000000003</v>
      </c>
      <c r="S261" s="87">
        <v>7</v>
      </c>
      <c r="T261" s="21">
        <f t="shared" si="373"/>
        <v>3.4967999999999999</v>
      </c>
      <c r="U261" s="21"/>
      <c r="V261" s="24">
        <f t="shared" si="374"/>
        <v>2.15</v>
      </c>
      <c r="W261" s="24">
        <f t="shared" si="375"/>
        <v>2.3125</v>
      </c>
      <c r="X261" s="24">
        <f t="shared" si="376"/>
        <v>2.3879620160701238</v>
      </c>
      <c r="Y261" s="25">
        <f t="shared" si="315"/>
        <v>1</v>
      </c>
      <c r="Z261" s="24">
        <f t="shared" ref="Z261:Z299" si="390">0.67*X261^0.3*msam*Y261</f>
        <v>11.108973334192873</v>
      </c>
      <c r="AA261" s="21">
        <f t="shared" si="377"/>
        <v>1.2077922077922079</v>
      </c>
      <c r="AB261" s="24">
        <f t="shared" ref="AB261:AB299" si="391">IF(AA261,0.72*AA261^0.3*msag,IF(msag,0.9*msag,0))</f>
        <v>2.1825481242995184</v>
      </c>
      <c r="AC261" s="24">
        <f t="shared" si="331"/>
        <v>15.557790202333454</v>
      </c>
      <c r="AD261" s="58">
        <f t="shared" si="378"/>
        <v>264</v>
      </c>
      <c r="AE261" s="58">
        <f t="shared" si="379"/>
        <v>270</v>
      </c>
      <c r="AF261" s="21">
        <f t="shared" ref="AF261:AF295" si="392">IF(sas,((sas)*0.15),IF(loa&lt;=4.87,IF(crew=1,14*0.15,17*0.15),IF(loa&lt;=5.8,IF(crew=1,17*0.15,21*0.15),IF(loa&lt;=6.71,IF(crew=1,20*0.15,25*0.15),0))))</f>
        <v>2.5499999999999998</v>
      </c>
      <c r="AG261" s="77">
        <f t="shared" ref="AG261:AG299" si="393">IF(AND(ars&lt;0.75*(AND(ars&gt;0)),(sas/msam&gt;0.75)),(sas*(12/ars^1.1)*0.01),0)</f>
        <v>0</v>
      </c>
      <c r="AH261" s="114">
        <f t="shared" si="311"/>
        <v>1.04</v>
      </c>
      <c r="AI261" s="59">
        <f t="shared" ref="AI261:AI299" si="394">100/(1.15*rl^0.3*(rsam+rsag)^0.4/rwex^0.325)*corcb</f>
        <v>124.88879562599436</v>
      </c>
      <c r="AJ261" s="59">
        <f t="shared" ref="AJ261:AJ299" si="395">100/(1.15*rl^0.3*rsa^0.4/rwin^0.325)*corcb</f>
        <v>118.12617433489075</v>
      </c>
      <c r="AK261" s="55">
        <v>6.6</v>
      </c>
      <c r="AL261" s="55"/>
      <c r="AM261" s="21">
        <f t="shared" si="380"/>
        <v>0</v>
      </c>
      <c r="AN261" s="54">
        <v>6.6</v>
      </c>
      <c r="AO261" s="55"/>
      <c r="AP261" s="21">
        <f t="shared" si="384"/>
        <v>0</v>
      </c>
      <c r="AQ261" s="55"/>
      <c r="AR261" s="55"/>
      <c r="AS261" s="21">
        <f t="shared" si="355"/>
        <v>0</v>
      </c>
      <c r="AT261" s="54"/>
      <c r="AU261" s="54"/>
      <c r="AV261" s="21">
        <f t="shared" si="356"/>
        <v>0</v>
      </c>
      <c r="AW261" s="54"/>
      <c r="AX261" s="54"/>
      <c r="AY261" s="21">
        <f t="shared" si="357"/>
        <v>0</v>
      </c>
      <c r="AZ261" s="54"/>
      <c r="BA261" s="54"/>
      <c r="BB261" s="21">
        <f t="shared" si="358"/>
        <v>0</v>
      </c>
      <c r="BC261" s="54"/>
      <c r="BD261" s="54"/>
      <c r="BE261" s="21">
        <f t="shared" si="359"/>
        <v>0</v>
      </c>
      <c r="BF261" s="55"/>
      <c r="BG261" s="55"/>
      <c r="BH261" s="21">
        <f t="shared" si="360"/>
        <v>0</v>
      </c>
      <c r="BI261" s="55"/>
      <c r="BJ261" s="55"/>
      <c r="BK261" s="21">
        <f t="shared" si="361"/>
        <v>0</v>
      </c>
      <c r="BL261" s="55"/>
      <c r="BM261" s="55"/>
      <c r="BN261" s="21">
        <f t="shared" si="362"/>
        <v>0</v>
      </c>
      <c r="BO261" s="55"/>
      <c r="BP261" s="55"/>
      <c r="BQ261" s="21">
        <f t="shared" si="363"/>
        <v>0</v>
      </c>
      <c r="BR261" s="55"/>
      <c r="BS261" s="21">
        <f t="shared" si="385"/>
        <v>0</v>
      </c>
      <c r="BT261" s="56">
        <v>3.72</v>
      </c>
      <c r="BU261" s="56">
        <v>1.54</v>
      </c>
      <c r="BV261" s="21">
        <f t="shared" si="364"/>
        <v>2.8644000000000003</v>
      </c>
      <c r="BW261" s="77">
        <f t="shared" si="323"/>
        <v>3.72</v>
      </c>
      <c r="BX261" s="55"/>
      <c r="BY261" s="21">
        <f t="shared" si="365"/>
        <v>0</v>
      </c>
      <c r="BZ261" s="55"/>
      <c r="CA261" s="55"/>
      <c r="CB261" s="21">
        <f t="shared" si="366"/>
        <v>0</v>
      </c>
      <c r="CC261" s="55"/>
      <c r="CD261" s="55"/>
      <c r="CE261" s="21">
        <f t="shared" si="367"/>
        <v>0</v>
      </c>
      <c r="CF261" s="21"/>
      <c r="CG261" s="21"/>
      <c r="CH261" s="21">
        <f t="shared" ref="CH261:CH295" si="396">CF261*CG261*0.5</f>
        <v>0</v>
      </c>
      <c r="CI261" s="25">
        <f t="shared" ref="CI261:CI267" si="397">BV261+BY261+CB261+CE261+CH261+DG261</f>
        <v>2.8644000000000003</v>
      </c>
      <c r="CJ261" s="54">
        <v>0.32500000000000001</v>
      </c>
      <c r="CK261" s="21">
        <f t="shared" si="386"/>
        <v>1.1375</v>
      </c>
      <c r="CL261" s="55"/>
      <c r="CM261" s="55"/>
      <c r="CN261" s="60"/>
      <c r="CO261" s="55"/>
      <c r="CP261" s="55"/>
      <c r="CQ261" s="55"/>
      <c r="CR261" s="55"/>
      <c r="CS261" s="55"/>
      <c r="CT261" s="55">
        <v>0.06</v>
      </c>
      <c r="CU261" s="55">
        <v>1.56</v>
      </c>
      <c r="CV261" s="55">
        <v>2.0699999999999998</v>
      </c>
      <c r="CW261" s="55">
        <v>2.14</v>
      </c>
      <c r="CX261" s="55">
        <v>2.15</v>
      </c>
      <c r="CY261" s="21">
        <f t="shared" si="381"/>
        <v>11.632499999999999</v>
      </c>
      <c r="CZ261" s="56"/>
      <c r="DA261" s="56"/>
      <c r="DB261" s="56"/>
      <c r="DC261" s="56"/>
      <c r="DD261" s="61">
        <f t="shared" ref="DD261:DD295" si="398">IF(CZ261,DC261/CZ261,smg_sf_no_details)</f>
        <v>0</v>
      </c>
      <c r="DE261" s="21">
        <f t="shared" ref="DE261:DE295" si="399">IF(CZ261,CZ261*(DA261+DB261)/4+(DC261-CZ261/2)*(DA261+DB261)/3,sas_no_details)</f>
        <v>0</v>
      </c>
      <c r="DF261" s="55"/>
      <c r="DG261" s="55"/>
      <c r="DH261" s="55"/>
      <c r="DI261" s="55"/>
      <c r="DJ261" s="104"/>
      <c r="DK261" s="53"/>
      <c r="DM261" s="58">
        <f t="shared" si="369"/>
        <v>527.28047734359222</v>
      </c>
      <c r="DN261" s="58">
        <f t="shared" si="382"/>
        <v>474</v>
      </c>
      <c r="DO261" s="21">
        <f t="shared" si="383"/>
        <v>0.89895230407160887</v>
      </c>
      <c r="DP261" s="62">
        <f t="shared" si="368"/>
        <v>1.011786705199323</v>
      </c>
      <c r="DQ261" s="7" t="s">
        <v>130</v>
      </c>
      <c r="DR261" s="107">
        <f t="shared" si="370"/>
        <v>0</v>
      </c>
    </row>
    <row r="262" spans="1:122" ht="12.75" customHeight="1" x14ac:dyDescent="0.2">
      <c r="A262" s="53" t="s">
        <v>536</v>
      </c>
      <c r="B262" s="54">
        <v>2</v>
      </c>
      <c r="C262" s="92">
        <f t="shared" si="388"/>
        <v>114.13754683730548</v>
      </c>
      <c r="D262" s="92">
        <f t="shared" si="389"/>
        <v>108.64877837376963</v>
      </c>
      <c r="E262" s="92">
        <f>VLOOKUP(A262,[3]TRTOTAL!$A$7:$D$313,3,FALSE)</f>
        <v>114.13754683730548</v>
      </c>
      <c r="F262" s="92">
        <f>VLOOKUP(A262,[3]TRTOTAL!$A$7:$D$313,4,FALSE)</f>
        <v>108.64877837376963</v>
      </c>
      <c r="G262" s="92">
        <f t="shared" ref="G262:G299" si="400">C262-E262</f>
        <v>0</v>
      </c>
      <c r="H262" s="92">
        <f t="shared" ref="H262:H299" si="401">D262-F262</f>
        <v>0</v>
      </c>
      <c r="I262" s="54">
        <v>5.5</v>
      </c>
      <c r="J262" s="56">
        <v>5.5</v>
      </c>
      <c r="K262" s="54">
        <v>2.5</v>
      </c>
      <c r="L262" s="57">
        <v>2</v>
      </c>
      <c r="M262" s="57">
        <v>157</v>
      </c>
      <c r="N262" s="57"/>
      <c r="O262" s="87" t="s">
        <v>133</v>
      </c>
      <c r="P262" s="24">
        <f t="shared" si="387"/>
        <v>14.2</v>
      </c>
      <c r="Q262" s="24">
        <f t="shared" si="371"/>
        <v>8.8800000000000008</v>
      </c>
      <c r="R262" s="24">
        <f t="shared" si="372"/>
        <v>4.7</v>
      </c>
      <c r="S262" s="87">
        <v>9.15</v>
      </c>
      <c r="T262" s="21">
        <f t="shared" si="373"/>
        <v>5.76</v>
      </c>
      <c r="U262" s="21"/>
      <c r="V262" s="24">
        <f t="shared" si="374"/>
        <v>2.2400000000000002</v>
      </c>
      <c r="W262" s="24">
        <f t="shared" si="375"/>
        <v>2.4000000000000004</v>
      </c>
      <c r="X262" s="24">
        <f t="shared" si="376"/>
        <v>2.4652777777777768</v>
      </c>
      <c r="Y262" s="25">
        <f t="shared" si="315"/>
        <v>1</v>
      </c>
      <c r="Z262" s="24">
        <f t="shared" si="390"/>
        <v>12.471621021893192</v>
      </c>
      <c r="AA262" s="21">
        <f t="shared" si="377"/>
        <v>0</v>
      </c>
      <c r="AB262" s="24">
        <f t="shared" si="391"/>
        <v>4.2300000000000004</v>
      </c>
      <c r="AC262" s="24">
        <f t="shared" si="331"/>
        <v>19.191003521893194</v>
      </c>
      <c r="AD262" s="58">
        <f t="shared" si="378"/>
        <v>307</v>
      </c>
      <c r="AE262" s="58">
        <f t="shared" si="379"/>
        <v>313</v>
      </c>
      <c r="AF262" s="21">
        <f t="shared" si="392"/>
        <v>3.0392825000000006</v>
      </c>
      <c r="AG262" s="77">
        <f t="shared" si="393"/>
        <v>0</v>
      </c>
      <c r="AH262" s="114">
        <f t="shared" si="311"/>
        <v>1.04</v>
      </c>
      <c r="AI262" s="59">
        <f t="shared" si="394"/>
        <v>113.0949503314113</v>
      </c>
      <c r="AJ262" s="59">
        <f t="shared" si="395"/>
        <v>107.65631936408343</v>
      </c>
      <c r="AK262" s="55"/>
      <c r="AL262" s="55">
        <v>2.2400000000000002</v>
      </c>
      <c r="AM262" s="21">
        <f t="shared" si="380"/>
        <v>0</v>
      </c>
      <c r="AN262" s="54">
        <v>8.8800000000000008</v>
      </c>
      <c r="AO262" s="55"/>
      <c r="AP262" s="21">
        <f t="shared" si="384"/>
        <v>0</v>
      </c>
      <c r="AQ262" s="55"/>
      <c r="AR262" s="55"/>
      <c r="AS262" s="21">
        <f t="shared" si="355"/>
        <v>0</v>
      </c>
      <c r="AT262" s="54"/>
      <c r="AU262" s="54"/>
      <c r="AV262" s="21"/>
      <c r="AW262" s="54"/>
      <c r="AX262" s="54"/>
      <c r="AY262" s="21"/>
      <c r="AZ262" s="54"/>
      <c r="BA262" s="54"/>
      <c r="BB262" s="21"/>
      <c r="BC262" s="54"/>
      <c r="BD262" s="54"/>
      <c r="BE262" s="21"/>
      <c r="BF262" s="55"/>
      <c r="BG262" s="55"/>
      <c r="BH262" s="21">
        <f t="shared" si="360"/>
        <v>0</v>
      </c>
      <c r="BI262" s="55"/>
      <c r="BJ262" s="55"/>
      <c r="BK262" s="21">
        <f t="shared" si="361"/>
        <v>0</v>
      </c>
      <c r="BL262" s="55"/>
      <c r="BM262" s="55"/>
      <c r="BN262" s="21">
        <f t="shared" si="362"/>
        <v>0</v>
      </c>
      <c r="BO262" s="55"/>
      <c r="BP262" s="55"/>
      <c r="BQ262" s="21">
        <f t="shared" si="363"/>
        <v>0</v>
      </c>
      <c r="BR262" s="55"/>
      <c r="BS262" s="21">
        <f t="shared" si="385"/>
        <v>0</v>
      </c>
      <c r="BT262" s="56"/>
      <c r="BU262" s="56"/>
      <c r="BV262" s="21"/>
      <c r="BW262" s="77"/>
      <c r="BX262" s="55"/>
      <c r="BY262" s="21"/>
      <c r="BZ262" s="55"/>
      <c r="CA262" s="55"/>
      <c r="CB262" s="21"/>
      <c r="CC262" s="55"/>
      <c r="CD262" s="55"/>
      <c r="CE262" s="21"/>
      <c r="CF262" s="21"/>
      <c r="CG262" s="21"/>
      <c r="CH262" s="21">
        <f t="shared" si="396"/>
        <v>0</v>
      </c>
      <c r="CI262" s="25">
        <f t="shared" si="397"/>
        <v>4.7</v>
      </c>
      <c r="CJ262" s="54"/>
      <c r="CK262" s="21">
        <f t="shared" si="386"/>
        <v>0</v>
      </c>
      <c r="CL262" s="55"/>
      <c r="CM262" s="55"/>
      <c r="CN262" s="60"/>
      <c r="CO262" s="55"/>
      <c r="CP262" s="55"/>
      <c r="CQ262" s="55"/>
      <c r="CR262" s="55"/>
      <c r="CS262" s="55"/>
      <c r="CT262" s="55"/>
      <c r="CU262" s="55"/>
      <c r="CV262" s="55"/>
      <c r="CW262" s="55"/>
      <c r="CX262" s="55"/>
      <c r="CY262" s="21">
        <f t="shared" si="381"/>
        <v>0</v>
      </c>
      <c r="CZ262" s="56">
        <v>4.63</v>
      </c>
      <c r="DA262" s="56">
        <v>6.82</v>
      </c>
      <c r="DB262" s="56">
        <v>6.12</v>
      </c>
      <c r="DC262" s="56">
        <v>3.54</v>
      </c>
      <c r="DD262" s="61">
        <f t="shared" si="398"/>
        <v>0.76457883369330459</v>
      </c>
      <c r="DE262" s="21">
        <f t="shared" si="399"/>
        <v>20.261883333333337</v>
      </c>
      <c r="DF262" s="55">
        <v>14.2</v>
      </c>
      <c r="DG262" s="55">
        <v>4.7</v>
      </c>
      <c r="DH262" s="55">
        <v>5.76</v>
      </c>
      <c r="DI262" s="55"/>
      <c r="DJ262" s="104"/>
      <c r="DK262" s="53" t="s">
        <v>537</v>
      </c>
      <c r="DM262" s="58">
        <f t="shared" si="369"/>
        <v>783.99989821439965</v>
      </c>
      <c r="DN262" s="58">
        <f t="shared" si="382"/>
        <v>721.25</v>
      </c>
      <c r="DO262" s="21">
        <f t="shared" si="383"/>
        <v>0.91996185413121123</v>
      </c>
      <c r="DP262" s="62">
        <f t="shared" si="368"/>
        <v>1.00921877150871</v>
      </c>
      <c r="DQ262" s="7" t="s">
        <v>130</v>
      </c>
      <c r="DR262" s="107">
        <f t="shared" si="370"/>
        <v>0</v>
      </c>
    </row>
    <row r="263" spans="1:122" ht="12.75" customHeight="1" x14ac:dyDescent="0.2">
      <c r="A263" s="53" t="s">
        <v>538</v>
      </c>
      <c r="B263" s="54">
        <v>2</v>
      </c>
      <c r="C263" s="92">
        <f t="shared" si="388"/>
        <v>108.89963721925595</v>
      </c>
      <c r="D263" s="92">
        <f t="shared" si="389"/>
        <v>104.88672452348122</v>
      </c>
      <c r="E263" s="92">
        <f>VLOOKUP(A263,[3]TRTOTAL!$A$7:$D$313,3,FALSE)</f>
        <v>108.89963721925595</v>
      </c>
      <c r="F263" s="92">
        <f>VLOOKUP(A263,[3]TRTOTAL!$A$7:$D$313,4,FALSE)</f>
        <v>104.88672452348122</v>
      </c>
      <c r="G263" s="92">
        <f t="shared" si="400"/>
        <v>0</v>
      </c>
      <c r="H263" s="92">
        <f t="shared" si="401"/>
        <v>0</v>
      </c>
      <c r="I263" s="54">
        <v>5.5</v>
      </c>
      <c r="J263" s="56">
        <v>5.5</v>
      </c>
      <c r="K263" s="54">
        <v>2.5</v>
      </c>
      <c r="L263" s="57">
        <v>2</v>
      </c>
      <c r="M263" s="57">
        <v>160</v>
      </c>
      <c r="N263" s="57"/>
      <c r="O263" s="87" t="s">
        <v>133</v>
      </c>
      <c r="P263" s="24">
        <f t="shared" si="387"/>
        <v>16.7</v>
      </c>
      <c r="Q263" s="24">
        <f t="shared" si="371"/>
        <v>8.8800000000000008</v>
      </c>
      <c r="R263" s="24">
        <f t="shared" si="372"/>
        <v>4.7</v>
      </c>
      <c r="S263" s="87">
        <v>9.15</v>
      </c>
      <c r="T263" s="21">
        <f t="shared" si="373"/>
        <v>5.76</v>
      </c>
      <c r="U263" s="21"/>
      <c r="V263" s="24">
        <f t="shared" si="374"/>
        <v>2.2400000000000002</v>
      </c>
      <c r="W263" s="24">
        <f t="shared" si="375"/>
        <v>2.4000000000000004</v>
      </c>
      <c r="X263" s="24">
        <f t="shared" si="376"/>
        <v>2.8993055555555545</v>
      </c>
      <c r="Y263" s="25">
        <f t="shared" si="315"/>
        <v>1</v>
      </c>
      <c r="Z263" s="24">
        <f t="shared" si="390"/>
        <v>15.398537328500984</v>
      </c>
      <c r="AA263" s="21">
        <f t="shared" si="377"/>
        <v>0</v>
      </c>
      <c r="AB263" s="24">
        <f t="shared" si="391"/>
        <v>4.2300000000000004</v>
      </c>
      <c r="AC263" s="24">
        <f t="shared" si="331"/>
        <v>21.898637328500982</v>
      </c>
      <c r="AD263" s="58">
        <f t="shared" si="378"/>
        <v>310</v>
      </c>
      <c r="AE263" s="58">
        <f t="shared" si="379"/>
        <v>316</v>
      </c>
      <c r="AF263" s="21">
        <f t="shared" si="392"/>
        <v>2.82</v>
      </c>
      <c r="AG263" s="77">
        <f t="shared" si="393"/>
        <v>0</v>
      </c>
      <c r="AH263" s="114">
        <f t="shared" si="311"/>
        <v>1.04</v>
      </c>
      <c r="AI263" s="59">
        <f t="shared" si="394"/>
        <v>106.35650740924515</v>
      </c>
      <c r="AJ263" s="59">
        <f t="shared" si="395"/>
        <v>102.43730813770387</v>
      </c>
      <c r="AK263" s="55"/>
      <c r="AL263" s="55">
        <v>2.2400000000000002</v>
      </c>
      <c r="AM263" s="21">
        <f t="shared" si="380"/>
        <v>0</v>
      </c>
      <c r="AN263" s="54">
        <v>8.8800000000000008</v>
      </c>
      <c r="AO263" s="55"/>
      <c r="AP263" s="21">
        <f t="shared" si="384"/>
        <v>0</v>
      </c>
      <c r="AQ263" s="55"/>
      <c r="AR263" s="55"/>
      <c r="AS263" s="21">
        <f t="shared" si="355"/>
        <v>0</v>
      </c>
      <c r="AT263" s="54"/>
      <c r="AU263" s="54"/>
      <c r="AV263" s="21"/>
      <c r="AW263" s="54"/>
      <c r="AX263" s="54"/>
      <c r="AY263" s="21"/>
      <c r="AZ263" s="54"/>
      <c r="BA263" s="54"/>
      <c r="BB263" s="21"/>
      <c r="BC263" s="54"/>
      <c r="BD263" s="54"/>
      <c r="BE263" s="21"/>
      <c r="BF263" s="55"/>
      <c r="BG263" s="55"/>
      <c r="BH263" s="21">
        <f t="shared" si="360"/>
        <v>0</v>
      </c>
      <c r="BI263" s="55"/>
      <c r="BJ263" s="55"/>
      <c r="BK263" s="21">
        <f t="shared" si="361"/>
        <v>0</v>
      </c>
      <c r="BL263" s="55"/>
      <c r="BM263" s="55"/>
      <c r="BN263" s="21">
        <f t="shared" si="362"/>
        <v>0</v>
      </c>
      <c r="BO263" s="55"/>
      <c r="BP263" s="55"/>
      <c r="BQ263" s="21">
        <f t="shared" si="363"/>
        <v>0</v>
      </c>
      <c r="BR263" s="55"/>
      <c r="BS263" s="21">
        <f t="shared" si="385"/>
        <v>0</v>
      </c>
      <c r="BT263" s="56"/>
      <c r="BU263" s="56"/>
      <c r="BV263" s="21"/>
      <c r="BW263" s="77"/>
      <c r="BX263" s="55"/>
      <c r="BY263" s="21"/>
      <c r="BZ263" s="55"/>
      <c r="CA263" s="55"/>
      <c r="CB263" s="21"/>
      <c r="CC263" s="55"/>
      <c r="CD263" s="55"/>
      <c r="CE263" s="21"/>
      <c r="CF263" s="21"/>
      <c r="CG263" s="21"/>
      <c r="CH263" s="21">
        <f t="shared" si="396"/>
        <v>0</v>
      </c>
      <c r="CI263" s="25">
        <f t="shared" si="397"/>
        <v>4.7</v>
      </c>
      <c r="CJ263" s="54"/>
      <c r="CK263" s="21">
        <f t="shared" si="386"/>
        <v>0</v>
      </c>
      <c r="CL263" s="55"/>
      <c r="CM263" s="55"/>
      <c r="CN263" s="60"/>
      <c r="CO263" s="55"/>
      <c r="CP263" s="55"/>
      <c r="CQ263" s="55"/>
      <c r="CR263" s="55"/>
      <c r="CS263" s="55"/>
      <c r="CT263" s="55"/>
      <c r="CU263" s="55"/>
      <c r="CV263" s="55"/>
      <c r="CW263" s="55"/>
      <c r="CX263" s="55"/>
      <c r="CY263" s="21">
        <f t="shared" si="381"/>
        <v>0</v>
      </c>
      <c r="CZ263" s="56"/>
      <c r="DA263" s="56"/>
      <c r="DB263" s="56"/>
      <c r="DC263" s="56"/>
      <c r="DD263" s="61">
        <f t="shared" si="398"/>
        <v>0</v>
      </c>
      <c r="DE263" s="21">
        <f t="shared" si="399"/>
        <v>18.8</v>
      </c>
      <c r="DF263" s="55">
        <v>16.7</v>
      </c>
      <c r="DG263" s="55">
        <v>4.7</v>
      </c>
      <c r="DH263" s="55">
        <v>5.76</v>
      </c>
      <c r="DI263" s="55">
        <v>18.8</v>
      </c>
      <c r="DJ263" s="104"/>
      <c r="DK263" s="53" t="s">
        <v>537</v>
      </c>
      <c r="DM263" s="58">
        <f t="shared" si="369"/>
        <v>898.73621053439979</v>
      </c>
      <c r="DN263" s="58">
        <f t="shared" si="382"/>
        <v>725</v>
      </c>
      <c r="DO263" s="21">
        <f t="shared" si="383"/>
        <v>0.80668831577277378</v>
      </c>
      <c r="DP263" s="62">
        <f t="shared" si="368"/>
        <v>1.0239113700887637</v>
      </c>
      <c r="DQ263" s="7" t="s">
        <v>130</v>
      </c>
      <c r="DR263" s="107">
        <f t="shared" si="370"/>
        <v>0</v>
      </c>
    </row>
    <row r="264" spans="1:122" ht="12.75" customHeight="1" x14ac:dyDescent="0.2">
      <c r="A264" s="53" t="s">
        <v>453</v>
      </c>
      <c r="B264" s="54">
        <v>2</v>
      </c>
      <c r="C264" s="92">
        <f t="shared" si="388"/>
        <v>115.28549823338668</v>
      </c>
      <c r="D264" s="92">
        <f t="shared" si="389"/>
        <v>109.32664740082659</v>
      </c>
      <c r="E264" s="92">
        <f>VLOOKUP(A264,[3]TRTOTAL!$A$7:$D$313,3,FALSE)</f>
        <v>115.28549823338668</v>
      </c>
      <c r="F264" s="92">
        <f>VLOOKUP(A264,[3]TRTOTAL!$A$7:$D$313,4,FALSE)</f>
        <v>109.32664740082659</v>
      </c>
      <c r="G264" s="92">
        <f t="shared" si="400"/>
        <v>0</v>
      </c>
      <c r="H264" s="92">
        <f t="shared" si="401"/>
        <v>0</v>
      </c>
      <c r="I264" s="54">
        <v>5.18</v>
      </c>
      <c r="J264" s="56">
        <v>5.07</v>
      </c>
      <c r="K264" s="54">
        <v>2.44</v>
      </c>
      <c r="L264" s="57">
        <v>2</v>
      </c>
      <c r="M264" s="57">
        <v>163</v>
      </c>
      <c r="N264" s="57"/>
      <c r="O264" s="87" t="s">
        <v>133</v>
      </c>
      <c r="P264" s="24">
        <f t="shared" si="387"/>
        <v>16.235994333333334</v>
      </c>
      <c r="Q264" s="24">
        <f t="shared" si="371"/>
        <v>8</v>
      </c>
      <c r="R264" s="24">
        <f t="shared" si="372"/>
        <v>3.0739000000000001</v>
      </c>
      <c r="S264" s="87">
        <v>8.1999999999999993</v>
      </c>
      <c r="T264" s="21">
        <f t="shared" si="373"/>
        <v>4.9067999999999996</v>
      </c>
      <c r="U264" s="21"/>
      <c r="V264" s="24">
        <f t="shared" si="374"/>
        <v>2.25</v>
      </c>
      <c r="W264" s="24">
        <f t="shared" si="375"/>
        <v>2.415</v>
      </c>
      <c r="X264" s="24">
        <f t="shared" si="376"/>
        <v>2.7838422443121336</v>
      </c>
      <c r="Y264" s="25">
        <f t="shared" si="315"/>
        <v>1</v>
      </c>
      <c r="Z264" s="24">
        <f t="shared" si="390"/>
        <v>14.789281657720798</v>
      </c>
      <c r="AA264" s="21">
        <f t="shared" si="377"/>
        <v>1.9991545265348594</v>
      </c>
      <c r="AB264" s="24">
        <f t="shared" si="391"/>
        <v>2.7244330544209081</v>
      </c>
      <c r="AC264" s="24">
        <f t="shared" si="331"/>
        <v>20.309538415066989</v>
      </c>
      <c r="AD264" s="58">
        <f t="shared" si="378"/>
        <v>313</v>
      </c>
      <c r="AE264" s="58">
        <f t="shared" si="379"/>
        <v>319</v>
      </c>
      <c r="AF264" s="21">
        <f t="shared" si="392"/>
        <v>3.15</v>
      </c>
      <c r="AG264" s="77">
        <f t="shared" si="393"/>
        <v>0</v>
      </c>
      <c r="AH264" s="114">
        <f t="shared" ref="AH264:AH299" si="402">IF(lb="no",1.04,(IF(lb="",1,(IF(lb="c",0.985,0.95)))))</f>
        <v>1.04</v>
      </c>
      <c r="AI264" s="59">
        <f t="shared" si="394"/>
        <v>114.42837022483232</v>
      </c>
      <c r="AJ264" s="59">
        <f t="shared" si="395"/>
        <v>108.51382243147188</v>
      </c>
      <c r="AK264" s="55">
        <v>8</v>
      </c>
      <c r="AL264" s="55">
        <v>2.25</v>
      </c>
      <c r="AM264" s="21">
        <f t="shared" si="380"/>
        <v>9</v>
      </c>
      <c r="AN264" s="54">
        <v>8</v>
      </c>
      <c r="AO264" s="55">
        <v>7.1999999999999995E-2</v>
      </c>
      <c r="AP264" s="21">
        <f t="shared" si="384"/>
        <v>0.38399999999999995</v>
      </c>
      <c r="AQ264" s="55">
        <v>0</v>
      </c>
      <c r="AR264" s="55">
        <v>0</v>
      </c>
      <c r="AS264" s="21">
        <f t="shared" si="355"/>
        <v>0</v>
      </c>
      <c r="AT264" s="54">
        <v>7.6109999999999998</v>
      </c>
      <c r="AU264" s="54">
        <v>0.77400000000000002</v>
      </c>
      <c r="AV264" s="21">
        <f>AT264*AU264*0.5</f>
        <v>2.9454569999999998</v>
      </c>
      <c r="AW264" s="54">
        <v>7.407</v>
      </c>
      <c r="AX264" s="54">
        <v>0.504</v>
      </c>
      <c r="AY264" s="21">
        <f>AW264*AX264*0.5</f>
        <v>1.8665640000000001</v>
      </c>
      <c r="AZ264" s="54">
        <v>5.21</v>
      </c>
      <c r="BA264" s="54">
        <v>0.14799999999999999</v>
      </c>
      <c r="BB264" s="21">
        <f>AZ264*BA264*2/3</f>
        <v>0.51405333333333336</v>
      </c>
      <c r="BC264" s="54">
        <v>2.2770000000000001</v>
      </c>
      <c r="BD264" s="54">
        <v>0.09</v>
      </c>
      <c r="BE264" s="21">
        <f>BC264*BD264*2/3</f>
        <v>0.13661999999999999</v>
      </c>
      <c r="BF264" s="55">
        <v>0.66</v>
      </c>
      <c r="BG264" s="55">
        <v>0.11</v>
      </c>
      <c r="BH264" s="21">
        <f t="shared" si="360"/>
        <v>3.6299999999999999E-2</v>
      </c>
      <c r="BI264" s="55"/>
      <c r="BJ264" s="55"/>
      <c r="BK264" s="21">
        <f t="shared" si="361"/>
        <v>0</v>
      </c>
      <c r="BL264" s="55"/>
      <c r="BM264" s="55"/>
      <c r="BN264" s="21">
        <f t="shared" si="362"/>
        <v>0</v>
      </c>
      <c r="BO264" s="55"/>
      <c r="BP264" s="55"/>
      <c r="BQ264" s="21">
        <f t="shared" si="363"/>
        <v>0</v>
      </c>
      <c r="BR264" s="55"/>
      <c r="BS264" s="21">
        <f t="shared" si="385"/>
        <v>14.882994333333334</v>
      </c>
      <c r="BT264" s="56">
        <v>5.22</v>
      </c>
      <c r="BU264" s="56">
        <v>1.24</v>
      </c>
      <c r="BV264" s="21">
        <f>BT264*BU264*0.5</f>
        <v>3.2363999999999997</v>
      </c>
      <c r="BW264" s="77">
        <f>BT264-CF264</f>
        <v>5.22</v>
      </c>
      <c r="BX264" s="55">
        <v>-3.5000000000000003E-2</v>
      </c>
      <c r="BY264" s="21">
        <f>BW264*BX264*2/3</f>
        <v>-0.12180000000000001</v>
      </c>
      <c r="BZ264" s="55">
        <v>4.4349999999999996</v>
      </c>
      <c r="CA264" s="55">
        <v>-0.03</v>
      </c>
      <c r="CB264" s="21">
        <f>BZ264*CA264*2/3</f>
        <v>-8.8699999999999987E-2</v>
      </c>
      <c r="CC264" s="54">
        <v>1.44</v>
      </c>
      <c r="CD264" s="54">
        <v>0.05</v>
      </c>
      <c r="CE264" s="21">
        <f>CC264*CD264*2/3</f>
        <v>4.7999999999999994E-2</v>
      </c>
      <c r="CF264" s="21"/>
      <c r="CG264" s="21"/>
      <c r="CH264" s="21">
        <f t="shared" si="396"/>
        <v>0</v>
      </c>
      <c r="CI264" s="25">
        <f t="shared" si="397"/>
        <v>3.0739000000000001</v>
      </c>
      <c r="CJ264" s="54">
        <v>0.33</v>
      </c>
      <c r="CK264" s="21">
        <f t="shared" si="386"/>
        <v>1.353</v>
      </c>
      <c r="CL264" s="55">
        <v>0</v>
      </c>
      <c r="CM264" s="55">
        <v>0</v>
      </c>
      <c r="CN264" s="60"/>
      <c r="CO264" s="55">
        <v>0</v>
      </c>
      <c r="CP264" s="55">
        <v>0</v>
      </c>
      <c r="CQ264" s="55">
        <v>0</v>
      </c>
      <c r="CR264" s="55"/>
      <c r="CS264" s="55"/>
      <c r="CT264" s="55"/>
      <c r="CU264" s="55"/>
      <c r="CV264" s="55"/>
      <c r="CW264" s="55"/>
      <c r="CX264" s="55"/>
      <c r="CY264" s="21">
        <f t="shared" si="381"/>
        <v>0</v>
      </c>
      <c r="CZ264" s="56"/>
      <c r="DA264" s="56"/>
      <c r="DB264" s="56"/>
      <c r="DC264" s="56"/>
      <c r="DD264" s="61">
        <f t="shared" si="398"/>
        <v>0</v>
      </c>
      <c r="DE264" s="21">
        <f t="shared" si="399"/>
        <v>0</v>
      </c>
      <c r="DF264" s="55"/>
      <c r="DG264" s="55"/>
      <c r="DH264" s="55"/>
      <c r="DI264" s="55"/>
      <c r="DJ264" s="104"/>
      <c r="DK264" s="53"/>
      <c r="DM264" s="58">
        <f t="shared" si="369"/>
        <v>765.04035746613692</v>
      </c>
      <c r="DN264" s="58">
        <f t="shared" si="382"/>
        <v>714.86</v>
      </c>
      <c r="DO264" s="21">
        <f t="shared" si="383"/>
        <v>0.93440822176710059</v>
      </c>
      <c r="DP264" s="62">
        <f t="shared" si="368"/>
        <v>1.0074905201120163</v>
      </c>
      <c r="DQ264" s="7">
        <v>0</v>
      </c>
      <c r="DR264" s="107">
        <f t="shared" si="370"/>
        <v>0</v>
      </c>
    </row>
    <row r="265" spans="1:122" ht="12.75" customHeight="1" x14ac:dyDescent="0.2">
      <c r="A265" s="53" t="s">
        <v>454</v>
      </c>
      <c r="B265" s="54">
        <v>1</v>
      </c>
      <c r="C265" s="92">
        <f t="shared" si="388"/>
        <v>116.76660368991229</v>
      </c>
      <c r="D265" s="92">
        <f t="shared" si="389"/>
        <v>111.57448662394299</v>
      </c>
      <c r="E265" s="92">
        <f>VLOOKUP(A265,[3]TRTOTAL!$A$7:$D$313,3,FALSE)</f>
        <v>116.76660368991229</v>
      </c>
      <c r="F265" s="92">
        <f>VLOOKUP(A265,[3]TRTOTAL!$A$7:$D$313,4,FALSE)</f>
        <v>111.57448662394299</v>
      </c>
      <c r="G265" s="92">
        <f t="shared" si="400"/>
        <v>0</v>
      </c>
      <c r="H265" s="92">
        <f t="shared" si="401"/>
        <v>0</v>
      </c>
      <c r="I265" s="54">
        <v>5.18</v>
      </c>
      <c r="J265" s="56">
        <v>5.07</v>
      </c>
      <c r="K265" s="54">
        <v>2.44</v>
      </c>
      <c r="L265" s="57">
        <v>1</v>
      </c>
      <c r="M265" s="57">
        <v>160</v>
      </c>
      <c r="N265" s="57"/>
      <c r="O265" s="87" t="s">
        <v>133</v>
      </c>
      <c r="P265" s="24">
        <f t="shared" si="387"/>
        <v>16.235994333333334</v>
      </c>
      <c r="Q265" s="24">
        <f t="shared" si="371"/>
        <v>8</v>
      </c>
      <c r="R265" s="24">
        <f t="shared" si="372"/>
        <v>0</v>
      </c>
      <c r="S265" s="87">
        <v>8.1999999999999993</v>
      </c>
      <c r="T265" s="21">
        <f t="shared" si="373"/>
        <v>0</v>
      </c>
      <c r="U265" s="21"/>
      <c r="V265" s="24">
        <f t="shared" si="374"/>
        <v>2.25</v>
      </c>
      <c r="W265" s="24">
        <f t="shared" si="375"/>
        <v>2.415</v>
      </c>
      <c r="X265" s="24">
        <f t="shared" si="376"/>
        <v>2.7838422443121336</v>
      </c>
      <c r="Y265" s="25">
        <f t="shared" si="315"/>
        <v>1</v>
      </c>
      <c r="Z265" s="24">
        <f t="shared" si="390"/>
        <v>14.789281657720798</v>
      </c>
      <c r="AA265" s="21">
        <f t="shared" si="377"/>
        <v>0</v>
      </c>
      <c r="AB265" s="24">
        <f t="shared" si="391"/>
        <v>0</v>
      </c>
      <c r="AC265" s="24">
        <f t="shared" si="331"/>
        <v>17.339281657720797</v>
      </c>
      <c r="AD265" s="58">
        <f t="shared" si="378"/>
        <v>235</v>
      </c>
      <c r="AE265" s="58">
        <f t="shared" si="379"/>
        <v>241</v>
      </c>
      <c r="AF265" s="21">
        <f t="shared" si="392"/>
        <v>2.5499999999999998</v>
      </c>
      <c r="AG265" s="77">
        <f t="shared" si="393"/>
        <v>0</v>
      </c>
      <c r="AH265" s="114">
        <f t="shared" si="402"/>
        <v>1.04</v>
      </c>
      <c r="AI265" s="59">
        <f t="shared" si="394"/>
        <v>111.54531502843628</v>
      </c>
      <c r="AJ265" s="59">
        <f t="shared" si="395"/>
        <v>105.53006592938067</v>
      </c>
      <c r="AK265" s="55">
        <v>8</v>
      </c>
      <c r="AL265" s="55">
        <v>2.25</v>
      </c>
      <c r="AM265" s="21">
        <f t="shared" si="380"/>
        <v>9</v>
      </c>
      <c r="AN265" s="54">
        <v>8</v>
      </c>
      <c r="AO265" s="55">
        <v>7.1999999999999995E-2</v>
      </c>
      <c r="AP265" s="21">
        <f t="shared" si="384"/>
        <v>0.38399999999999995</v>
      </c>
      <c r="AQ265" s="55">
        <v>0</v>
      </c>
      <c r="AR265" s="55">
        <v>0</v>
      </c>
      <c r="AS265" s="21">
        <f t="shared" si="355"/>
        <v>0</v>
      </c>
      <c r="AT265" s="54">
        <v>7.6109999999999998</v>
      </c>
      <c r="AU265" s="54">
        <v>0.77400000000000002</v>
      </c>
      <c r="AV265" s="21">
        <f>AT265*AU265*0.5</f>
        <v>2.9454569999999998</v>
      </c>
      <c r="AW265" s="54">
        <v>7.407</v>
      </c>
      <c r="AX265" s="54">
        <v>0.504</v>
      </c>
      <c r="AY265" s="21">
        <f>AW265*AX265*0.5</f>
        <v>1.8665640000000001</v>
      </c>
      <c r="AZ265" s="54">
        <v>5.21</v>
      </c>
      <c r="BA265" s="54">
        <v>0.14799999999999999</v>
      </c>
      <c r="BB265" s="21">
        <f>AZ265*BA265*2/3</f>
        <v>0.51405333333333336</v>
      </c>
      <c r="BC265" s="54">
        <v>2.2770000000000001</v>
      </c>
      <c r="BD265" s="54">
        <v>0.09</v>
      </c>
      <c r="BE265" s="21">
        <f>BC265*BD265*2/3</f>
        <v>0.13661999999999999</v>
      </c>
      <c r="BF265" s="55">
        <v>0.66</v>
      </c>
      <c r="BG265" s="55">
        <v>0.11</v>
      </c>
      <c r="BH265" s="21">
        <f t="shared" si="360"/>
        <v>3.6299999999999999E-2</v>
      </c>
      <c r="BI265" s="55"/>
      <c r="BJ265" s="55"/>
      <c r="BK265" s="21">
        <f t="shared" si="361"/>
        <v>0</v>
      </c>
      <c r="BL265" s="55"/>
      <c r="BM265" s="55"/>
      <c r="BN265" s="21">
        <f t="shared" si="362"/>
        <v>0</v>
      </c>
      <c r="BO265" s="55"/>
      <c r="BP265" s="55"/>
      <c r="BQ265" s="21">
        <f t="shared" si="363"/>
        <v>0</v>
      </c>
      <c r="BR265" s="55"/>
      <c r="BS265" s="21">
        <f t="shared" si="385"/>
        <v>14.882994333333334</v>
      </c>
      <c r="BT265" s="56">
        <v>0</v>
      </c>
      <c r="BU265" s="56">
        <v>0</v>
      </c>
      <c r="BV265" s="21">
        <f>BT265*BU265*0.5</f>
        <v>0</v>
      </c>
      <c r="BW265" s="77">
        <f>BT265-CF265</f>
        <v>0</v>
      </c>
      <c r="BX265" s="55">
        <v>0</v>
      </c>
      <c r="BY265" s="21">
        <f>BW265*BX265*2/3</f>
        <v>0</v>
      </c>
      <c r="BZ265" s="55">
        <v>0</v>
      </c>
      <c r="CA265" s="55">
        <v>0</v>
      </c>
      <c r="CB265" s="21">
        <f>BZ265*CA265*2/3</f>
        <v>0</v>
      </c>
      <c r="CC265" s="55">
        <v>0</v>
      </c>
      <c r="CD265" s="55">
        <v>0</v>
      </c>
      <c r="CE265" s="21">
        <f>CC265*CD265*2/3</f>
        <v>0</v>
      </c>
      <c r="CF265" s="21"/>
      <c r="CG265" s="21"/>
      <c r="CH265" s="21">
        <f t="shared" si="396"/>
        <v>0</v>
      </c>
      <c r="CI265" s="25">
        <f t="shared" si="397"/>
        <v>0</v>
      </c>
      <c r="CJ265" s="54">
        <v>0.33</v>
      </c>
      <c r="CK265" s="21">
        <f t="shared" si="386"/>
        <v>1.353</v>
      </c>
      <c r="CL265" s="55">
        <v>0</v>
      </c>
      <c r="CM265" s="55">
        <v>0</v>
      </c>
      <c r="CN265" s="60"/>
      <c r="CO265" s="55">
        <v>0</v>
      </c>
      <c r="CP265" s="55">
        <v>0</v>
      </c>
      <c r="CQ265" s="55">
        <v>0</v>
      </c>
      <c r="CR265" s="55"/>
      <c r="CS265" s="55"/>
      <c r="CT265" s="55"/>
      <c r="CU265" s="55"/>
      <c r="CV265" s="55"/>
      <c r="CW265" s="55"/>
      <c r="CX265" s="55"/>
      <c r="CY265" s="21">
        <f t="shared" si="381"/>
        <v>0</v>
      </c>
      <c r="CZ265" s="56"/>
      <c r="DA265" s="56"/>
      <c r="DB265" s="56"/>
      <c r="DC265" s="56"/>
      <c r="DD265" s="61">
        <f t="shared" si="398"/>
        <v>0</v>
      </c>
      <c r="DE265" s="21">
        <f t="shared" si="399"/>
        <v>0</v>
      </c>
      <c r="DF265" s="55"/>
      <c r="DG265" s="55"/>
      <c r="DH265" s="55"/>
      <c r="DI265" s="55"/>
      <c r="DJ265" s="104"/>
      <c r="DK265" s="53"/>
      <c r="DM265" s="58">
        <f t="shared" si="369"/>
        <v>686.91317562721258</v>
      </c>
      <c r="DN265" s="58">
        <f t="shared" si="382"/>
        <v>453.2</v>
      </c>
      <c r="DO265" s="21">
        <f t="shared" si="383"/>
        <v>0.65976314923088819</v>
      </c>
      <c r="DP265" s="62">
        <f t="shared" si="368"/>
        <v>1.0468086773536383</v>
      </c>
      <c r="DQ265" s="7">
        <v>0</v>
      </c>
      <c r="DR265" s="107">
        <f t="shared" si="370"/>
        <v>0</v>
      </c>
    </row>
    <row r="266" spans="1:122" ht="12.75" customHeight="1" x14ac:dyDescent="0.2">
      <c r="A266" s="53" t="s">
        <v>539</v>
      </c>
      <c r="B266" s="54">
        <v>2</v>
      </c>
      <c r="C266" s="92">
        <f t="shared" si="388"/>
        <v>119.3006489079292</v>
      </c>
      <c r="D266" s="92">
        <f t="shared" si="389"/>
        <v>112.65013777146304</v>
      </c>
      <c r="E266" s="92">
        <f>VLOOKUP(A266,[3]TRTOTAL!$A$7:$D$313,3,FALSE)</f>
        <v>119.3006489079292</v>
      </c>
      <c r="F266" s="92">
        <f>VLOOKUP(A266,[3]TRTOTAL!$A$7:$D$313,4,FALSE)</f>
        <v>112.65013777146304</v>
      </c>
      <c r="G266" s="92">
        <f t="shared" si="400"/>
        <v>0</v>
      </c>
      <c r="H266" s="92">
        <f t="shared" si="401"/>
        <v>0</v>
      </c>
      <c r="I266" s="54">
        <v>5.17</v>
      </c>
      <c r="J266" s="56">
        <v>5.17</v>
      </c>
      <c r="K266" s="54">
        <v>2.44</v>
      </c>
      <c r="L266" s="57">
        <v>2</v>
      </c>
      <c r="M266" s="57">
        <v>160</v>
      </c>
      <c r="N266" s="57"/>
      <c r="O266" s="87" t="s">
        <v>133</v>
      </c>
      <c r="P266" s="24">
        <f t="shared" si="387"/>
        <v>13.5</v>
      </c>
      <c r="Q266" s="24">
        <f t="shared" si="371"/>
        <v>8.15</v>
      </c>
      <c r="R266" s="24">
        <f t="shared" si="372"/>
        <v>4.2</v>
      </c>
      <c r="S266" s="87">
        <v>8.1999999999999993</v>
      </c>
      <c r="T266" s="21">
        <f t="shared" si="373"/>
        <v>5.05</v>
      </c>
      <c r="U266" s="21"/>
      <c r="V266" s="24">
        <f t="shared" si="374"/>
        <v>2.25</v>
      </c>
      <c r="W266" s="24">
        <f t="shared" si="375"/>
        <v>2.41</v>
      </c>
      <c r="X266" s="24">
        <f t="shared" si="376"/>
        <v>2.324340145658649</v>
      </c>
      <c r="Y266" s="25">
        <f t="shared" ref="Y266:Y299" si="403">IF(Decksweeper="yes",1,IF(mainh1,(mainh1/V266)^0.7,IF(mfoot&lt;CW266,(mfoot/CW266)^0.7,1)))</f>
        <v>1</v>
      </c>
      <c r="Z266" s="24">
        <f t="shared" si="390"/>
        <v>11.649263696288275</v>
      </c>
      <c r="AA266" s="21">
        <f t="shared" si="377"/>
        <v>0</v>
      </c>
      <c r="AB266" s="24">
        <f t="shared" si="391"/>
        <v>3.7800000000000002</v>
      </c>
      <c r="AC266" s="24">
        <f t="shared" si="331"/>
        <v>18.087863696288274</v>
      </c>
      <c r="AD266" s="58">
        <f t="shared" si="378"/>
        <v>310</v>
      </c>
      <c r="AE266" s="58">
        <f t="shared" si="379"/>
        <v>316</v>
      </c>
      <c r="AF266" s="21">
        <f t="shared" si="392"/>
        <v>3.15</v>
      </c>
      <c r="AG266" s="77">
        <f t="shared" si="393"/>
        <v>0</v>
      </c>
      <c r="AH266" s="114">
        <f t="shared" si="402"/>
        <v>1.04</v>
      </c>
      <c r="AI266" s="59">
        <f t="shared" si="394"/>
        <v>119.3006489079292</v>
      </c>
      <c r="AJ266" s="59">
        <f t="shared" si="395"/>
        <v>112.65013777146304</v>
      </c>
      <c r="AK266" s="55"/>
      <c r="AL266" s="55">
        <v>2.25</v>
      </c>
      <c r="AM266" s="21">
        <f t="shared" si="380"/>
        <v>0</v>
      </c>
      <c r="AN266" s="54">
        <v>8.15</v>
      </c>
      <c r="AO266" s="55"/>
      <c r="AP266" s="21">
        <f t="shared" si="384"/>
        <v>0</v>
      </c>
      <c r="AQ266" s="55">
        <v>0</v>
      </c>
      <c r="AR266" s="55">
        <v>0</v>
      </c>
      <c r="AS266" s="21">
        <f t="shared" si="355"/>
        <v>0</v>
      </c>
      <c r="AT266" s="54"/>
      <c r="AU266" s="54"/>
      <c r="AV266" s="21"/>
      <c r="AW266" s="54"/>
      <c r="AX266" s="54"/>
      <c r="AY266" s="21"/>
      <c r="AZ266" s="54"/>
      <c r="BA266" s="54"/>
      <c r="BB266" s="21"/>
      <c r="BC266" s="54"/>
      <c r="BD266" s="54"/>
      <c r="BE266" s="21"/>
      <c r="BF266" s="55"/>
      <c r="BG266" s="55"/>
      <c r="BH266" s="21"/>
      <c r="BI266" s="55"/>
      <c r="BJ266" s="55"/>
      <c r="BK266" s="21"/>
      <c r="BL266" s="55"/>
      <c r="BM266" s="55"/>
      <c r="BN266" s="21"/>
      <c r="BO266" s="55"/>
      <c r="BP266" s="55"/>
      <c r="BQ266" s="21"/>
      <c r="BR266" s="55"/>
      <c r="BS266" s="21">
        <f t="shared" si="385"/>
        <v>0</v>
      </c>
      <c r="BT266" s="56"/>
      <c r="BU266" s="56"/>
      <c r="BV266" s="21"/>
      <c r="BW266" s="77"/>
      <c r="BX266" s="55"/>
      <c r="BY266" s="21"/>
      <c r="BZ266" s="55"/>
      <c r="CA266" s="55"/>
      <c r="CB266" s="21"/>
      <c r="CC266" s="54"/>
      <c r="CD266" s="54"/>
      <c r="CE266" s="21"/>
      <c r="CF266" s="21"/>
      <c r="CG266" s="21"/>
      <c r="CH266" s="21">
        <f t="shared" si="396"/>
        <v>0</v>
      </c>
      <c r="CI266" s="25">
        <f t="shared" si="397"/>
        <v>4.2</v>
      </c>
      <c r="CJ266" s="54"/>
      <c r="CK266" s="21">
        <f t="shared" si="386"/>
        <v>0</v>
      </c>
      <c r="CL266" s="55">
        <v>0</v>
      </c>
      <c r="CM266" s="55">
        <v>0</v>
      </c>
      <c r="CN266" s="60">
        <v>43579</v>
      </c>
      <c r="CO266" s="55" t="s">
        <v>517</v>
      </c>
      <c r="CP266" s="55">
        <v>0</v>
      </c>
      <c r="CQ266" s="55">
        <v>0</v>
      </c>
      <c r="CR266" s="55"/>
      <c r="CS266" s="55"/>
      <c r="CT266" s="55"/>
      <c r="CU266" s="55"/>
      <c r="CV266" s="55"/>
      <c r="CW266" s="55"/>
      <c r="CX266" s="55"/>
      <c r="CY266" s="21">
        <f t="shared" si="381"/>
        <v>0</v>
      </c>
      <c r="CZ266" s="56"/>
      <c r="DA266" s="56"/>
      <c r="DB266" s="56"/>
      <c r="DC266" s="56"/>
      <c r="DD266" s="61">
        <f t="shared" si="398"/>
        <v>0</v>
      </c>
      <c r="DE266" s="21">
        <f t="shared" si="399"/>
        <v>0</v>
      </c>
      <c r="DF266" s="55">
        <v>13.5</v>
      </c>
      <c r="DG266" s="55">
        <v>4.2</v>
      </c>
      <c r="DH266" s="55">
        <v>5.05</v>
      </c>
      <c r="DI266" s="55"/>
      <c r="DJ266" s="104"/>
      <c r="DK266" s="53" t="s">
        <v>552</v>
      </c>
      <c r="DM266" s="58">
        <f t="shared" si="369"/>
        <v>685.46601446399995</v>
      </c>
      <c r="DN266" s="58">
        <f t="shared" si="382"/>
        <v>711.2</v>
      </c>
      <c r="DO266" s="21">
        <f t="shared" si="383"/>
        <v>1.037542321563707</v>
      </c>
      <c r="DP266" s="62">
        <f t="shared" si="368"/>
        <v>1</v>
      </c>
      <c r="DQ266" s="7" t="s">
        <v>130</v>
      </c>
      <c r="DR266" s="107" t="str">
        <f t="shared" ref="DR266:DR299" si="404">IF((vlm/MastLength)&gt;0.99,"yes",0)</f>
        <v>yes</v>
      </c>
    </row>
    <row r="267" spans="1:122" ht="12.75" customHeight="1" x14ac:dyDescent="0.2">
      <c r="A267" s="53" t="s">
        <v>540</v>
      </c>
      <c r="B267" s="54">
        <v>2</v>
      </c>
      <c r="C267" s="92">
        <f t="shared" si="388"/>
        <v>113.15812425988338</v>
      </c>
      <c r="D267" s="92">
        <f t="shared" si="389"/>
        <v>107.81453466351424</v>
      </c>
      <c r="E267" s="92">
        <f>VLOOKUP(A267,[3]TRTOTAL!$A$7:$D$313,3,FALSE)</f>
        <v>113.20678251023276</v>
      </c>
      <c r="F267" s="92">
        <f>VLOOKUP(A267,[3]TRTOTAL!$A$7:$D$313,4,FALSE)</f>
        <v>107.86089515820493</v>
      </c>
      <c r="G267" s="92">
        <f t="shared" si="400"/>
        <v>-4.8658250349376431E-2</v>
      </c>
      <c r="H267" s="92">
        <f t="shared" si="401"/>
        <v>-4.636049469068837E-2</v>
      </c>
      <c r="I267" s="54">
        <v>5.17</v>
      </c>
      <c r="J267" s="56">
        <v>5.17</v>
      </c>
      <c r="K267" s="54">
        <v>2.44</v>
      </c>
      <c r="L267" s="57">
        <v>2</v>
      </c>
      <c r="M267" s="57">
        <v>162</v>
      </c>
      <c r="N267" s="57"/>
      <c r="O267" s="87" t="s">
        <v>133</v>
      </c>
      <c r="P267" s="24">
        <f t="shared" si="387"/>
        <v>15.9</v>
      </c>
      <c r="Q267" s="24">
        <f t="shared" si="371"/>
        <v>8.15</v>
      </c>
      <c r="R267" s="24">
        <f t="shared" si="372"/>
        <v>4.2</v>
      </c>
      <c r="S267" s="87">
        <v>8.1999999999999993</v>
      </c>
      <c r="T267" s="21">
        <f t="shared" si="373"/>
        <v>5.05</v>
      </c>
      <c r="U267" s="21"/>
      <c r="V267" s="24">
        <f t="shared" si="374"/>
        <v>2.25</v>
      </c>
      <c r="W267" s="24">
        <f t="shared" si="375"/>
        <v>2.41</v>
      </c>
      <c r="X267" s="24">
        <f t="shared" si="376"/>
        <v>2.7375561715535199</v>
      </c>
      <c r="Y267" s="25">
        <f t="shared" si="403"/>
        <v>1</v>
      </c>
      <c r="Z267" s="24">
        <f t="shared" si="390"/>
        <v>14.410559362153961</v>
      </c>
      <c r="AA267" s="21">
        <f t="shared" si="377"/>
        <v>0</v>
      </c>
      <c r="AB267" s="24">
        <f t="shared" si="391"/>
        <v>3.7800000000000002</v>
      </c>
      <c r="AC267" s="24">
        <f t="shared" si="331"/>
        <v>20.849159362153962</v>
      </c>
      <c r="AD267" s="58">
        <f t="shared" si="378"/>
        <v>312</v>
      </c>
      <c r="AE267" s="58">
        <f t="shared" si="379"/>
        <v>318</v>
      </c>
      <c r="AF267" s="21">
        <f t="shared" si="392"/>
        <v>3.15</v>
      </c>
      <c r="AG267" s="77">
        <f t="shared" si="393"/>
        <v>0</v>
      </c>
      <c r="AH267" s="114">
        <f t="shared" si="402"/>
        <v>1.04</v>
      </c>
      <c r="AI267" s="59">
        <f t="shared" si="394"/>
        <v>111.93094168134154</v>
      </c>
      <c r="AJ267" s="59">
        <f t="shared" si="395"/>
        <v>106.6453024981878</v>
      </c>
      <c r="AK267" s="55"/>
      <c r="AL267" s="55">
        <v>2.25</v>
      </c>
      <c r="AM267" s="21">
        <f t="shared" si="380"/>
        <v>0</v>
      </c>
      <c r="AN267" s="54">
        <v>8.15</v>
      </c>
      <c r="AO267" s="55"/>
      <c r="AP267" s="21">
        <f t="shared" si="384"/>
        <v>0</v>
      </c>
      <c r="AQ267" s="55">
        <v>0</v>
      </c>
      <c r="AR267" s="55">
        <v>0</v>
      </c>
      <c r="AS267" s="21">
        <f t="shared" si="355"/>
        <v>0</v>
      </c>
      <c r="AT267" s="54"/>
      <c r="AU267" s="54"/>
      <c r="AV267" s="21"/>
      <c r="AW267" s="54"/>
      <c r="AX267" s="54"/>
      <c r="AY267" s="21"/>
      <c r="AZ267" s="54"/>
      <c r="BA267" s="54"/>
      <c r="BB267" s="21"/>
      <c r="BC267" s="54"/>
      <c r="BD267" s="54"/>
      <c r="BE267" s="21"/>
      <c r="BF267" s="55"/>
      <c r="BG267" s="55"/>
      <c r="BH267" s="21"/>
      <c r="BI267" s="55"/>
      <c r="BJ267" s="55"/>
      <c r="BK267" s="21"/>
      <c r="BL267" s="55"/>
      <c r="BM267" s="55"/>
      <c r="BN267" s="21"/>
      <c r="BO267" s="55"/>
      <c r="BP267" s="55"/>
      <c r="BQ267" s="21"/>
      <c r="BR267" s="55"/>
      <c r="BS267" s="21">
        <f t="shared" si="385"/>
        <v>0</v>
      </c>
      <c r="BT267" s="56"/>
      <c r="BU267" s="56"/>
      <c r="BV267" s="21"/>
      <c r="BW267" s="77"/>
      <c r="BX267" s="55"/>
      <c r="BY267" s="21"/>
      <c r="BZ267" s="55"/>
      <c r="CA267" s="55"/>
      <c r="CB267" s="21"/>
      <c r="CC267" s="54"/>
      <c r="CD267" s="54"/>
      <c r="CE267" s="21"/>
      <c r="CF267" s="21"/>
      <c r="CG267" s="21"/>
      <c r="CH267" s="21">
        <f t="shared" si="396"/>
        <v>0</v>
      </c>
      <c r="CI267" s="25">
        <f t="shared" si="397"/>
        <v>4.2</v>
      </c>
      <c r="CJ267" s="54"/>
      <c r="CK267" s="21">
        <f t="shared" si="386"/>
        <v>0</v>
      </c>
      <c r="CL267" s="55">
        <v>0</v>
      </c>
      <c r="CM267" s="55">
        <v>0</v>
      </c>
      <c r="CN267" s="60">
        <v>43579</v>
      </c>
      <c r="CO267" s="55" t="s">
        <v>517</v>
      </c>
      <c r="CP267" s="55">
        <v>0</v>
      </c>
      <c r="CQ267" s="55">
        <v>0</v>
      </c>
      <c r="CR267" s="55"/>
      <c r="CS267" s="55"/>
      <c r="CT267" s="55"/>
      <c r="CU267" s="55"/>
      <c r="CV267" s="55"/>
      <c r="CW267" s="55"/>
      <c r="CX267" s="55"/>
      <c r="CY267" s="21">
        <f t="shared" si="381"/>
        <v>0</v>
      </c>
      <c r="CZ267" s="56"/>
      <c r="DA267" s="56"/>
      <c r="DB267" s="56"/>
      <c r="DC267" s="56"/>
      <c r="DD267" s="61">
        <f t="shared" si="398"/>
        <v>0</v>
      </c>
      <c r="DE267" s="21">
        <f t="shared" si="399"/>
        <v>0</v>
      </c>
      <c r="DF267" s="55">
        <v>15.9</v>
      </c>
      <c r="DG267" s="55">
        <v>4.2</v>
      </c>
      <c r="DH267" s="55">
        <v>5.05</v>
      </c>
      <c r="DI267" s="55"/>
      <c r="DJ267" s="104"/>
      <c r="DK267" s="53" t="s">
        <v>554</v>
      </c>
      <c r="DM267" s="58">
        <f t="shared" si="369"/>
        <v>788.00674176000007</v>
      </c>
      <c r="DN267" s="58">
        <f t="shared" si="382"/>
        <v>713.64</v>
      </c>
      <c r="DO267" s="21">
        <f t="shared" si="383"/>
        <v>0.90562676964678857</v>
      </c>
      <c r="DP267" s="62">
        <f t="shared" si="368"/>
        <v>1.0109637474688236</v>
      </c>
      <c r="DQ267" s="7" t="s">
        <v>130</v>
      </c>
      <c r="DR267" s="107" t="str">
        <f t="shared" si="404"/>
        <v>yes</v>
      </c>
    </row>
    <row r="268" spans="1:122" ht="12.75" customHeight="1" x14ac:dyDescent="0.2">
      <c r="A268" s="53" t="s">
        <v>553</v>
      </c>
      <c r="B268" s="54">
        <v>2</v>
      </c>
      <c r="C268" s="92">
        <f t="shared" si="388"/>
        <v>113.23493037050771</v>
      </c>
      <c r="D268" s="92">
        <f t="shared" si="389"/>
        <v>107.69753615850779</v>
      </c>
      <c r="E268" s="92">
        <f>VLOOKUP(A268,[3]TRTOTAL!$A$7:$D$313,3,FALSE)</f>
        <v>113.28394296247174</v>
      </c>
      <c r="F268" s="92">
        <f>VLOOKUP(A268,[3]TRTOTAL!$A$7:$D$313,4,FALSE)</f>
        <v>107.74415194550916</v>
      </c>
      <c r="G268" s="92">
        <f t="shared" si="400"/>
        <v>-4.9012591964029184E-2</v>
      </c>
      <c r="H268" s="92">
        <f t="shared" si="401"/>
        <v>-4.66157870013717E-2</v>
      </c>
      <c r="I268" s="54">
        <v>5.17</v>
      </c>
      <c r="J268" s="56">
        <v>5.17</v>
      </c>
      <c r="K268" s="54">
        <v>2.44</v>
      </c>
      <c r="L268" s="57">
        <v>2</v>
      </c>
      <c r="M268" s="57"/>
      <c r="N268" s="57">
        <v>165</v>
      </c>
      <c r="O268" s="87" t="s">
        <v>133</v>
      </c>
      <c r="P268" s="24">
        <f t="shared" si="387"/>
        <v>15.9</v>
      </c>
      <c r="Q268" s="24">
        <f t="shared" si="371"/>
        <v>8.15</v>
      </c>
      <c r="R268" s="24">
        <f t="shared" si="372"/>
        <v>4</v>
      </c>
      <c r="S268" s="87">
        <v>8.1999999999999993</v>
      </c>
      <c r="T268" s="21">
        <f t="shared" si="373"/>
        <v>5.05</v>
      </c>
      <c r="U268" s="21"/>
      <c r="V268" s="24">
        <f t="shared" si="374"/>
        <v>2.25</v>
      </c>
      <c r="W268" s="24">
        <f t="shared" si="375"/>
        <v>2.41</v>
      </c>
      <c r="X268" s="24">
        <f t="shared" si="376"/>
        <v>2.7375561715535199</v>
      </c>
      <c r="Y268" s="25">
        <f t="shared" si="403"/>
        <v>1</v>
      </c>
      <c r="Z268" s="24">
        <f t="shared" si="390"/>
        <v>14.410559362153961</v>
      </c>
      <c r="AA268" s="21">
        <f t="shared" si="377"/>
        <v>0</v>
      </c>
      <c r="AB268" s="24">
        <f t="shared" si="391"/>
        <v>3.6</v>
      </c>
      <c r="AC268" s="24">
        <f t="shared" si="331"/>
        <v>20.737188971555931</v>
      </c>
      <c r="AD268" s="58">
        <f t="shared" si="378"/>
        <v>309</v>
      </c>
      <c r="AE268" s="58">
        <f t="shared" si="379"/>
        <v>315</v>
      </c>
      <c r="AF268" s="21">
        <f t="shared" si="392"/>
        <v>2.6549999999999998</v>
      </c>
      <c r="AG268" s="77">
        <f t="shared" si="393"/>
        <v>3.1946296094019671</v>
      </c>
      <c r="AH268" s="114">
        <f t="shared" si="402"/>
        <v>1.04</v>
      </c>
      <c r="AI268" s="59">
        <f t="shared" si="394"/>
        <v>112.02474432330769</v>
      </c>
      <c r="AJ268" s="59">
        <f t="shared" si="395"/>
        <v>106.54653041186768</v>
      </c>
      <c r="AK268" s="55"/>
      <c r="AL268" s="55">
        <v>2.25</v>
      </c>
      <c r="AM268" s="21">
        <f t="shared" si="380"/>
        <v>0</v>
      </c>
      <c r="AN268" s="54">
        <v>8.15</v>
      </c>
      <c r="AO268" s="55"/>
      <c r="AP268" s="21">
        <f t="shared" si="384"/>
        <v>0</v>
      </c>
      <c r="AQ268" s="55">
        <v>0</v>
      </c>
      <c r="AR268" s="55">
        <v>0</v>
      </c>
      <c r="AS268" s="21">
        <f t="shared" si="355"/>
        <v>0</v>
      </c>
      <c r="AT268" s="54"/>
      <c r="AU268" s="54"/>
      <c r="AV268" s="21"/>
      <c r="AW268" s="54"/>
      <c r="AX268" s="54"/>
      <c r="AY268" s="21"/>
      <c r="AZ268" s="54"/>
      <c r="BA268" s="54"/>
      <c r="BB268" s="21"/>
      <c r="BC268" s="54"/>
      <c r="BD268" s="54"/>
      <c r="BE268" s="21"/>
      <c r="BF268" s="55"/>
      <c r="BG268" s="55"/>
      <c r="BH268" s="21"/>
      <c r="BI268" s="55"/>
      <c r="BJ268" s="55"/>
      <c r="BK268" s="21"/>
      <c r="BL268" s="55"/>
      <c r="BM268" s="55"/>
      <c r="BN268" s="21"/>
      <c r="BO268" s="55"/>
      <c r="BP268" s="55"/>
      <c r="BQ268" s="21"/>
      <c r="BR268" s="55"/>
      <c r="BS268" s="21">
        <f t="shared" si="385"/>
        <v>0</v>
      </c>
      <c r="BT268" s="56"/>
      <c r="BU268" s="56"/>
      <c r="BV268" s="21"/>
      <c r="BW268" s="77"/>
      <c r="BX268" s="55"/>
      <c r="BY268" s="21"/>
      <c r="BZ268" s="55"/>
      <c r="CA268" s="55"/>
      <c r="CB268" s="21"/>
      <c r="CC268" s="54"/>
      <c r="CD268" s="54"/>
      <c r="CE268" s="21"/>
      <c r="CF268" s="21"/>
      <c r="CG268" s="21"/>
      <c r="CH268" s="21">
        <f t="shared" si="396"/>
        <v>0</v>
      </c>
      <c r="CI268" s="25">
        <v>4</v>
      </c>
      <c r="CJ268" s="54"/>
      <c r="CK268" s="21">
        <f t="shared" si="386"/>
        <v>0</v>
      </c>
      <c r="CL268" s="55">
        <v>0</v>
      </c>
      <c r="CM268" s="55">
        <v>0</v>
      </c>
      <c r="CN268" s="60">
        <v>43579</v>
      </c>
      <c r="CO268" s="55" t="s">
        <v>517</v>
      </c>
      <c r="CP268" s="55">
        <v>0</v>
      </c>
      <c r="CQ268" s="55">
        <v>0</v>
      </c>
      <c r="CR268" s="55"/>
      <c r="CS268" s="55"/>
      <c r="CT268" s="55"/>
      <c r="CU268" s="55"/>
      <c r="CV268" s="55"/>
      <c r="CW268" s="55"/>
      <c r="CX268" s="55"/>
      <c r="CY268" s="21">
        <f t="shared" si="381"/>
        <v>0</v>
      </c>
      <c r="CZ268" s="56"/>
      <c r="DA268" s="56"/>
      <c r="DB268" s="56"/>
      <c r="DC268" s="56"/>
      <c r="DD268" s="61">
        <f t="shared" si="398"/>
        <v>0.69</v>
      </c>
      <c r="DE268" s="21">
        <f t="shared" si="399"/>
        <v>17.7</v>
      </c>
      <c r="DF268" s="55">
        <v>15.9</v>
      </c>
      <c r="DG268" s="55">
        <v>4.2</v>
      </c>
      <c r="DH268" s="55">
        <v>5.05</v>
      </c>
      <c r="DI268" s="55">
        <v>17.7</v>
      </c>
      <c r="DJ268" s="104">
        <v>0.69</v>
      </c>
      <c r="DK268" s="53" t="s">
        <v>554</v>
      </c>
      <c r="DM268" s="58">
        <f t="shared" si="369"/>
        <v>782.831769216</v>
      </c>
      <c r="DN268" s="58">
        <f t="shared" si="382"/>
        <v>709.98</v>
      </c>
      <c r="DO268" s="21">
        <f t="shared" si="383"/>
        <v>0.90693815442753367</v>
      </c>
      <c r="DP268" s="62">
        <f t="shared" si="368"/>
        <v>1.0108028458757949</v>
      </c>
      <c r="DQ268" s="7" t="s">
        <v>130</v>
      </c>
      <c r="DR268" s="107" t="str">
        <f t="shared" si="404"/>
        <v>yes</v>
      </c>
    </row>
    <row r="269" spans="1:122" ht="12.75" customHeight="1" x14ac:dyDescent="0.2">
      <c r="A269" s="53" t="s">
        <v>455</v>
      </c>
      <c r="B269" s="54">
        <v>2</v>
      </c>
      <c r="C269" s="92">
        <f t="shared" si="388"/>
        <v>118.80176134920441</v>
      </c>
      <c r="D269" s="92">
        <f t="shared" si="389"/>
        <v>112.08988646212237</v>
      </c>
      <c r="E269" s="92">
        <f>VLOOKUP(A269,[3]TRTOTAL!$A$7:$D$313,3,FALSE)</f>
        <v>118.80176134920441</v>
      </c>
      <c r="F269" s="92">
        <f>VLOOKUP(A269,[3]TRTOTAL!$A$7:$D$313,4,FALSE)</f>
        <v>112.08988646212237</v>
      </c>
      <c r="G269" s="92">
        <f t="shared" si="400"/>
        <v>0</v>
      </c>
      <c r="H269" s="92">
        <f t="shared" si="401"/>
        <v>0</v>
      </c>
      <c r="I269" s="54">
        <v>4.91</v>
      </c>
      <c r="J269" s="56">
        <v>4.84</v>
      </c>
      <c r="K269" s="54">
        <v>2.21</v>
      </c>
      <c r="L269" s="57">
        <v>2</v>
      </c>
      <c r="M269" s="57">
        <v>147</v>
      </c>
      <c r="N269" s="57"/>
      <c r="O269" s="87" t="s">
        <v>133</v>
      </c>
      <c r="P269" s="24">
        <f t="shared" si="387"/>
        <v>15.1348</v>
      </c>
      <c r="Q269" s="24">
        <f t="shared" si="371"/>
        <v>7.38</v>
      </c>
      <c r="R269" s="24">
        <f t="shared" si="372"/>
        <v>3.1855166666666666</v>
      </c>
      <c r="S269" s="87">
        <v>7.6</v>
      </c>
      <c r="T269" s="21">
        <f t="shared" si="373"/>
        <v>4.1453999999999995</v>
      </c>
      <c r="U269" s="21"/>
      <c r="V269" s="24">
        <f t="shared" si="374"/>
        <v>2.27</v>
      </c>
      <c r="W269" s="24">
        <f t="shared" si="375"/>
        <v>2.4350000000000001</v>
      </c>
      <c r="X269" s="24">
        <f t="shared" si="376"/>
        <v>2.5525764328390301</v>
      </c>
      <c r="Y269" s="25">
        <f t="shared" si="403"/>
        <v>1</v>
      </c>
      <c r="Z269" s="24">
        <f t="shared" si="390"/>
        <v>13.4321370888249</v>
      </c>
      <c r="AA269" s="21">
        <f t="shared" si="377"/>
        <v>1.5151089972255252</v>
      </c>
      <c r="AB269" s="24">
        <f t="shared" si="391"/>
        <v>2.5980382529798578</v>
      </c>
      <c r="AC269" s="24">
        <f t="shared" si="331"/>
        <v>18.842430368917377</v>
      </c>
      <c r="AD269" s="58">
        <f t="shared" si="378"/>
        <v>297</v>
      </c>
      <c r="AE269" s="58">
        <f t="shared" si="379"/>
        <v>303</v>
      </c>
      <c r="AF269" s="21">
        <f t="shared" si="392"/>
        <v>3.15</v>
      </c>
      <c r="AG269" s="77">
        <f t="shared" si="393"/>
        <v>0</v>
      </c>
      <c r="AH269" s="114">
        <f t="shared" si="402"/>
        <v>1.04</v>
      </c>
      <c r="AI269" s="59">
        <f t="shared" si="394"/>
        <v>118.18229717857444</v>
      </c>
      <c r="AJ269" s="59">
        <f t="shared" si="395"/>
        <v>111.50541980300299</v>
      </c>
      <c r="AK269" s="55">
        <v>7.38</v>
      </c>
      <c r="AL269" s="55">
        <v>2.27</v>
      </c>
      <c r="AM269" s="21">
        <f t="shared" si="380"/>
        <v>8.3763000000000005</v>
      </c>
      <c r="AN269" s="54">
        <v>7.38</v>
      </c>
      <c r="AO269" s="55">
        <v>0.11</v>
      </c>
      <c r="AP269" s="21">
        <f t="shared" si="384"/>
        <v>0.54120000000000001</v>
      </c>
      <c r="AQ269" s="55"/>
      <c r="AR269" s="55"/>
      <c r="AS269" s="21">
        <f t="shared" si="355"/>
        <v>0</v>
      </c>
      <c r="AT269" s="54">
        <v>7.18</v>
      </c>
      <c r="AU269" s="54">
        <v>0.87</v>
      </c>
      <c r="AV269" s="21">
        <f>AT269*AU269*0.5</f>
        <v>3.1233</v>
      </c>
      <c r="AW269" s="54"/>
      <c r="AX269" s="54"/>
      <c r="AY269" s="21">
        <f>AW269*AX269*0.5</f>
        <v>0</v>
      </c>
      <c r="AZ269" s="54">
        <v>6.9</v>
      </c>
      <c r="BA269" s="54">
        <v>0.4</v>
      </c>
      <c r="BB269" s="21">
        <f>AZ269*BA269*2/3</f>
        <v>1.84</v>
      </c>
      <c r="BC269" s="54"/>
      <c r="BD269" s="54"/>
      <c r="BE269" s="21">
        <f>BC269*BD269*2/3</f>
        <v>0</v>
      </c>
      <c r="BF269" s="55"/>
      <c r="BG269" s="55"/>
      <c r="BH269" s="21">
        <f>BF269*BG269*0.5</f>
        <v>0</v>
      </c>
      <c r="BI269" s="55"/>
      <c r="BJ269" s="55"/>
      <c r="BK269" s="21">
        <f>BI269*BJ269*2/3</f>
        <v>0</v>
      </c>
      <c r="BL269" s="55"/>
      <c r="BM269" s="55"/>
      <c r="BN269" s="21">
        <f>BL269*BM269*0.5</f>
        <v>0</v>
      </c>
      <c r="BO269" s="55"/>
      <c r="BP269" s="55"/>
      <c r="BQ269" s="21">
        <f>BO269*BP269*0.5</f>
        <v>0</v>
      </c>
      <c r="BR269" s="55"/>
      <c r="BS269" s="21">
        <f t="shared" si="385"/>
        <v>13.880800000000001</v>
      </c>
      <c r="BT269" s="56">
        <v>4.41</v>
      </c>
      <c r="BU269" s="56">
        <v>1.45</v>
      </c>
      <c r="BV269" s="21">
        <f>BT269*BU269*0.5</f>
        <v>3.1972499999999999</v>
      </c>
      <c r="BW269" s="77">
        <f>BT269-CF269</f>
        <v>4.41</v>
      </c>
      <c r="BX269" s="55">
        <v>0.01</v>
      </c>
      <c r="BY269" s="21">
        <f>BW269*BX269*2/3</f>
        <v>2.9399999999999999E-2</v>
      </c>
      <c r="BZ269" s="55">
        <v>4.1500000000000004</v>
      </c>
      <c r="CA269" s="55">
        <v>-0.04</v>
      </c>
      <c r="CB269" s="21">
        <f>BZ269*CA269*2/3</f>
        <v>-0.11066666666666668</v>
      </c>
      <c r="CC269" s="55">
        <v>1.49</v>
      </c>
      <c r="CD269" s="55">
        <v>7.0000000000000007E-2</v>
      </c>
      <c r="CE269" s="21">
        <f t="shared" ref="CE269:CE280" si="405">CC269*CD269*2/3</f>
        <v>6.9533333333333336E-2</v>
      </c>
      <c r="CF269" s="21"/>
      <c r="CG269" s="21"/>
      <c r="CH269" s="21">
        <f t="shared" si="396"/>
        <v>0</v>
      </c>
      <c r="CI269" s="25">
        <f t="shared" ref="CI269:CI295" si="406">BV269+BY269+CB269+CE269+CH269+DG269</f>
        <v>3.1855166666666666</v>
      </c>
      <c r="CJ269" s="54">
        <v>0.33</v>
      </c>
      <c r="CK269" s="21">
        <f t="shared" si="386"/>
        <v>1.254</v>
      </c>
      <c r="CL269" s="55"/>
      <c r="CM269" s="55"/>
      <c r="CN269" s="60">
        <v>36746</v>
      </c>
      <c r="CO269" s="55" t="s">
        <v>456</v>
      </c>
      <c r="CP269" s="55"/>
      <c r="CQ269" s="55"/>
      <c r="CR269" s="55"/>
      <c r="CS269" s="55"/>
      <c r="CT269" s="55"/>
      <c r="CU269" s="55"/>
      <c r="CV269" s="55"/>
      <c r="CW269" s="55"/>
      <c r="CX269" s="55"/>
      <c r="CY269" s="21">
        <f t="shared" si="381"/>
        <v>0</v>
      </c>
      <c r="CZ269" s="56"/>
      <c r="DA269" s="56"/>
      <c r="DB269" s="56"/>
      <c r="DC269" s="56"/>
      <c r="DD269" s="61">
        <f t="shared" si="398"/>
        <v>0</v>
      </c>
      <c r="DE269" s="21">
        <f t="shared" si="399"/>
        <v>0</v>
      </c>
      <c r="DF269" s="55"/>
      <c r="DG269" s="55"/>
      <c r="DH269" s="55"/>
      <c r="DI269" s="55"/>
      <c r="DJ269" s="104"/>
      <c r="DK269" s="53"/>
      <c r="DM269" s="58">
        <f t="shared" si="369"/>
        <v>675.27785114117955</v>
      </c>
      <c r="DN269" s="58">
        <f t="shared" si="382"/>
        <v>643.93499999999995</v>
      </c>
      <c r="DO269" s="21">
        <f t="shared" si="383"/>
        <v>0.95358525222141965</v>
      </c>
      <c r="DP269" s="62">
        <f t="shared" si="368"/>
        <v>1.0052415986608718</v>
      </c>
      <c r="DQ269" s="7" t="s">
        <v>130</v>
      </c>
      <c r="DR269" s="107">
        <f t="shared" si="404"/>
        <v>0</v>
      </c>
    </row>
    <row r="270" spans="1:122" ht="12.75" customHeight="1" x14ac:dyDescent="0.2">
      <c r="A270" s="53" t="s">
        <v>457</v>
      </c>
      <c r="B270" s="54">
        <v>1</v>
      </c>
      <c r="C270" s="92">
        <f t="shared" si="388"/>
        <v>120.17638089666525</v>
      </c>
      <c r="D270" s="92">
        <f t="shared" si="389"/>
        <v>114.22458308589556</v>
      </c>
      <c r="E270" s="92">
        <f>VLOOKUP(A270,[3]TRTOTAL!$A$7:$D$313,3,FALSE)</f>
        <v>120.17638089666525</v>
      </c>
      <c r="F270" s="92">
        <f>VLOOKUP(A270,[3]TRTOTAL!$A$7:$D$313,4,FALSE)</f>
        <v>114.22458308589556</v>
      </c>
      <c r="G270" s="92">
        <f t="shared" si="400"/>
        <v>0</v>
      </c>
      <c r="H270" s="92">
        <f t="shared" si="401"/>
        <v>0</v>
      </c>
      <c r="I270" s="54">
        <v>4.91</v>
      </c>
      <c r="J270" s="56">
        <v>4.84</v>
      </c>
      <c r="K270" s="54">
        <v>2.21</v>
      </c>
      <c r="L270" s="57">
        <v>1</v>
      </c>
      <c r="M270" s="57">
        <v>144</v>
      </c>
      <c r="N270" s="57"/>
      <c r="O270" s="87" t="s">
        <v>133</v>
      </c>
      <c r="P270" s="24">
        <f t="shared" si="387"/>
        <v>15.1348</v>
      </c>
      <c r="Q270" s="24">
        <f t="shared" si="371"/>
        <v>7.38</v>
      </c>
      <c r="R270" s="24">
        <f t="shared" si="372"/>
        <v>0</v>
      </c>
      <c r="S270" s="87">
        <v>7.6</v>
      </c>
      <c r="T270" s="21">
        <f t="shared" si="373"/>
        <v>0</v>
      </c>
      <c r="U270" s="21"/>
      <c r="V270" s="24">
        <f t="shared" si="374"/>
        <v>2.27</v>
      </c>
      <c r="W270" s="24">
        <f t="shared" si="375"/>
        <v>2.4350000000000001</v>
      </c>
      <c r="X270" s="24">
        <f t="shared" si="376"/>
        <v>2.5525764328390301</v>
      </c>
      <c r="Y270" s="25">
        <f t="shared" si="403"/>
        <v>1</v>
      </c>
      <c r="Z270" s="24">
        <f t="shared" si="390"/>
        <v>13.4321370888249</v>
      </c>
      <c r="AA270" s="21">
        <f t="shared" si="377"/>
        <v>0</v>
      </c>
      <c r="AB270" s="24">
        <f t="shared" si="391"/>
        <v>0</v>
      </c>
      <c r="AC270" s="24">
        <f t="shared" si="331"/>
        <v>15.982137088824899</v>
      </c>
      <c r="AD270" s="58">
        <f t="shared" si="378"/>
        <v>219</v>
      </c>
      <c r="AE270" s="58">
        <f t="shared" si="379"/>
        <v>225</v>
      </c>
      <c r="AF270" s="21">
        <f t="shared" si="392"/>
        <v>2.5499999999999998</v>
      </c>
      <c r="AG270" s="77">
        <f t="shared" si="393"/>
        <v>0</v>
      </c>
      <c r="AH270" s="114">
        <f t="shared" si="402"/>
        <v>1.04</v>
      </c>
      <c r="AI270" s="59">
        <f t="shared" si="394"/>
        <v>114.8862837740385</v>
      </c>
      <c r="AJ270" s="59">
        <f t="shared" si="395"/>
        <v>108.11532750152953</v>
      </c>
      <c r="AK270" s="55">
        <v>7.38</v>
      </c>
      <c r="AL270" s="55">
        <v>2.27</v>
      </c>
      <c r="AM270" s="21">
        <f t="shared" si="380"/>
        <v>8.3763000000000005</v>
      </c>
      <c r="AN270" s="54">
        <v>7.38</v>
      </c>
      <c r="AO270" s="55">
        <v>0.11</v>
      </c>
      <c r="AP270" s="21">
        <f t="shared" si="384"/>
        <v>0.54120000000000001</v>
      </c>
      <c r="AQ270" s="55"/>
      <c r="AR270" s="55"/>
      <c r="AS270" s="21">
        <f t="shared" si="355"/>
        <v>0</v>
      </c>
      <c r="AT270" s="54">
        <v>7.18</v>
      </c>
      <c r="AU270" s="54">
        <v>0.87</v>
      </c>
      <c r="AV270" s="21">
        <f>AT270*AU270*0.5</f>
        <v>3.1233</v>
      </c>
      <c r="AW270" s="54"/>
      <c r="AX270" s="54"/>
      <c r="AY270" s="21">
        <f>AW270*AX270*0.5</f>
        <v>0</v>
      </c>
      <c r="AZ270" s="54">
        <v>6.9</v>
      </c>
      <c r="BA270" s="54">
        <v>0.4</v>
      </c>
      <c r="BB270" s="21">
        <f>AZ270*BA270*2/3</f>
        <v>1.84</v>
      </c>
      <c r="BC270" s="54"/>
      <c r="BD270" s="54"/>
      <c r="BE270" s="21">
        <f>BC270*BD270*2/3</f>
        <v>0</v>
      </c>
      <c r="BF270" s="55"/>
      <c r="BG270" s="55"/>
      <c r="BH270" s="21">
        <f>BF270*BG270*0.5</f>
        <v>0</v>
      </c>
      <c r="BI270" s="55"/>
      <c r="BJ270" s="55"/>
      <c r="BK270" s="21">
        <f>BI270*BJ270*2/3</f>
        <v>0</v>
      </c>
      <c r="BL270" s="55"/>
      <c r="BM270" s="55"/>
      <c r="BN270" s="21">
        <f>BL270*BM270*0.5</f>
        <v>0</v>
      </c>
      <c r="BO270" s="55"/>
      <c r="BP270" s="55"/>
      <c r="BQ270" s="21">
        <f>BO270*BP270*0.5</f>
        <v>0</v>
      </c>
      <c r="BR270" s="55"/>
      <c r="BS270" s="21">
        <f t="shared" si="385"/>
        <v>13.880800000000001</v>
      </c>
      <c r="BT270" s="56">
        <v>0</v>
      </c>
      <c r="BU270" s="56"/>
      <c r="BV270" s="21">
        <f>BT270*BU270*0.5</f>
        <v>0</v>
      </c>
      <c r="BW270" s="77">
        <f>BT270-CF270</f>
        <v>0</v>
      </c>
      <c r="BX270" s="55"/>
      <c r="BY270" s="21">
        <f>BW270*BX270*2/3</f>
        <v>0</v>
      </c>
      <c r="BZ270" s="55"/>
      <c r="CA270" s="55"/>
      <c r="CB270" s="21">
        <f>BZ270*CA270*2/3</f>
        <v>0</v>
      </c>
      <c r="CC270" s="54"/>
      <c r="CD270" s="54"/>
      <c r="CE270" s="21">
        <f t="shared" si="405"/>
        <v>0</v>
      </c>
      <c r="CF270" s="21"/>
      <c r="CG270" s="21"/>
      <c r="CH270" s="21">
        <f t="shared" si="396"/>
        <v>0</v>
      </c>
      <c r="CI270" s="25">
        <f t="shared" si="406"/>
        <v>0</v>
      </c>
      <c r="CJ270" s="54">
        <v>0.33</v>
      </c>
      <c r="CK270" s="21">
        <f t="shared" si="386"/>
        <v>1.254</v>
      </c>
      <c r="CL270" s="55"/>
      <c r="CM270" s="55"/>
      <c r="CN270" s="60">
        <v>36746</v>
      </c>
      <c r="CO270" s="55" t="s">
        <v>456</v>
      </c>
      <c r="CP270" s="55"/>
      <c r="CQ270" s="55"/>
      <c r="CR270" s="55"/>
      <c r="CS270" s="55"/>
      <c r="CT270" s="55"/>
      <c r="CU270" s="55"/>
      <c r="CV270" s="55"/>
      <c r="CW270" s="55"/>
      <c r="CX270" s="55"/>
      <c r="CY270" s="21">
        <f t="shared" si="381"/>
        <v>0</v>
      </c>
      <c r="CZ270" s="56"/>
      <c r="DA270" s="56"/>
      <c r="DB270" s="56"/>
      <c r="DC270" s="56"/>
      <c r="DD270" s="61">
        <f t="shared" si="398"/>
        <v>0</v>
      </c>
      <c r="DE270" s="21">
        <f t="shared" si="399"/>
        <v>0</v>
      </c>
      <c r="DF270" s="55"/>
      <c r="DG270" s="55"/>
      <c r="DH270" s="55"/>
      <c r="DI270" s="55"/>
      <c r="DJ270" s="104"/>
      <c r="DK270" s="53"/>
      <c r="DM270" s="58">
        <f t="shared" si="369"/>
        <v>602.08060455997429</v>
      </c>
      <c r="DN270" s="58">
        <f t="shared" si="382"/>
        <v>399.87</v>
      </c>
      <c r="DO270" s="21">
        <f t="shared" si="383"/>
        <v>0.66414695469594431</v>
      </c>
      <c r="DP270" s="62">
        <f t="shared" si="368"/>
        <v>1.0460463768941421</v>
      </c>
      <c r="DQ270" s="7" t="s">
        <v>130</v>
      </c>
      <c r="DR270" s="107">
        <f t="shared" si="404"/>
        <v>0</v>
      </c>
    </row>
    <row r="271" spans="1:122" ht="12.75" customHeight="1" x14ac:dyDescent="0.2">
      <c r="A271" s="53" t="s">
        <v>458</v>
      </c>
      <c r="B271" s="54">
        <v>1</v>
      </c>
      <c r="C271" s="92">
        <f t="shared" si="388"/>
        <v>113.53475926893469</v>
      </c>
      <c r="D271" s="92">
        <f t="shared" si="389"/>
        <v>109.91403314707313</v>
      </c>
      <c r="E271" s="92">
        <f>VLOOKUP(A271,[3]TRTOTAL!$A$7:$D$313,3,FALSE)</f>
        <v>113.53475926893469</v>
      </c>
      <c r="F271" s="92">
        <f>VLOOKUP(A271,[3]TRTOTAL!$A$7:$D$313,4,FALSE)</f>
        <v>109.91403314707313</v>
      </c>
      <c r="G271" s="92">
        <f t="shared" si="400"/>
        <v>0</v>
      </c>
      <c r="H271" s="92">
        <f t="shared" si="401"/>
        <v>0</v>
      </c>
      <c r="I271" s="54">
        <v>4.91</v>
      </c>
      <c r="J271" s="56">
        <v>4.84</v>
      </c>
      <c r="K271" s="54">
        <v>2.21</v>
      </c>
      <c r="L271" s="57">
        <v>1</v>
      </c>
      <c r="M271" s="57">
        <v>147</v>
      </c>
      <c r="N271" s="57"/>
      <c r="O271" s="87" t="s">
        <v>133</v>
      </c>
      <c r="P271" s="24">
        <f t="shared" si="387"/>
        <v>15.1348</v>
      </c>
      <c r="Q271" s="24">
        <f t="shared" si="371"/>
        <v>7.38</v>
      </c>
      <c r="R271" s="24">
        <f t="shared" si="372"/>
        <v>3.2952666666666666</v>
      </c>
      <c r="S271" s="87">
        <v>7.6</v>
      </c>
      <c r="T271" s="21">
        <f t="shared" si="373"/>
        <v>4.2863999999999995</v>
      </c>
      <c r="U271" s="21"/>
      <c r="V271" s="24">
        <f t="shared" si="374"/>
        <v>2.27</v>
      </c>
      <c r="W271" s="24">
        <f t="shared" si="375"/>
        <v>2.4350000000000001</v>
      </c>
      <c r="X271" s="24">
        <f t="shared" si="376"/>
        <v>2.5525764328390301</v>
      </c>
      <c r="Y271" s="25">
        <f t="shared" si="403"/>
        <v>1</v>
      </c>
      <c r="Z271" s="24">
        <f t="shared" si="390"/>
        <v>13.4321370888249</v>
      </c>
      <c r="AA271" s="21">
        <f t="shared" si="377"/>
        <v>1.5673087594133968</v>
      </c>
      <c r="AB271" s="24">
        <f t="shared" si="391"/>
        <v>2.7149974744546124</v>
      </c>
      <c r="AC271" s="24">
        <f t="shared" si="331"/>
        <v>18.344184891600413</v>
      </c>
      <c r="AD271" s="58">
        <f t="shared" si="378"/>
        <v>222</v>
      </c>
      <c r="AE271" s="58">
        <f t="shared" si="379"/>
        <v>228</v>
      </c>
      <c r="AF271" s="21">
        <f t="shared" si="392"/>
        <v>2.5499999999999998</v>
      </c>
      <c r="AG271" s="77">
        <f t="shared" si="393"/>
        <v>0</v>
      </c>
      <c r="AH271" s="114">
        <f t="shared" si="402"/>
        <v>1.04</v>
      </c>
      <c r="AI271" s="59">
        <f t="shared" si="394"/>
        <v>107.20336592033614</v>
      </c>
      <c r="AJ271" s="59">
        <f t="shared" si="395"/>
        <v>102.7569838185006</v>
      </c>
      <c r="AK271" s="55">
        <v>7.38</v>
      </c>
      <c r="AL271" s="55">
        <v>2.27</v>
      </c>
      <c r="AM271" s="21">
        <f t="shared" si="380"/>
        <v>8.3763000000000005</v>
      </c>
      <c r="AN271" s="54">
        <v>7.38</v>
      </c>
      <c r="AO271" s="55">
        <v>0.11</v>
      </c>
      <c r="AP271" s="21">
        <f t="shared" si="384"/>
        <v>0.54120000000000001</v>
      </c>
      <c r="AQ271" s="55"/>
      <c r="AR271" s="55"/>
      <c r="AS271" s="21">
        <f t="shared" si="355"/>
        <v>0</v>
      </c>
      <c r="AT271" s="54">
        <v>7.18</v>
      </c>
      <c r="AU271" s="54">
        <v>0.87</v>
      </c>
      <c r="AV271" s="21">
        <f>AT271*AU271*0.5</f>
        <v>3.1233</v>
      </c>
      <c r="AW271" s="54"/>
      <c r="AX271" s="54"/>
      <c r="AY271" s="21">
        <f>AW271*AX271*0.5</f>
        <v>0</v>
      </c>
      <c r="AZ271" s="54">
        <v>6.9</v>
      </c>
      <c r="BA271" s="54">
        <v>0.4</v>
      </c>
      <c r="BB271" s="21">
        <f>AZ271*BA271*2/3</f>
        <v>1.84</v>
      </c>
      <c r="BC271" s="54"/>
      <c r="BD271" s="54"/>
      <c r="BE271" s="21">
        <f>BC271*BD271*2/3</f>
        <v>0</v>
      </c>
      <c r="BF271" s="55"/>
      <c r="BG271" s="55"/>
      <c r="BH271" s="21">
        <f>BF271*BG271*0.5</f>
        <v>0</v>
      </c>
      <c r="BI271" s="55"/>
      <c r="BJ271" s="55"/>
      <c r="BK271" s="21">
        <f>BI271*BJ271*2/3</f>
        <v>0</v>
      </c>
      <c r="BL271" s="55"/>
      <c r="BM271" s="55"/>
      <c r="BN271" s="21">
        <f>BL271*BM271*0.5</f>
        <v>0</v>
      </c>
      <c r="BO271" s="55"/>
      <c r="BP271" s="55"/>
      <c r="BQ271" s="21">
        <f>BO271*BP271*0.5</f>
        <v>0</v>
      </c>
      <c r="BR271" s="55"/>
      <c r="BS271" s="21">
        <f t="shared" si="385"/>
        <v>13.880800000000001</v>
      </c>
      <c r="BT271" s="56">
        <v>4.5599999999999996</v>
      </c>
      <c r="BU271" s="56">
        <v>1.45</v>
      </c>
      <c r="BV271" s="21">
        <f>BT271*BU271*0.5</f>
        <v>3.3059999999999996</v>
      </c>
      <c r="BW271" s="77">
        <f>BT271-CF271</f>
        <v>4.5599999999999996</v>
      </c>
      <c r="BX271" s="55">
        <v>0.01</v>
      </c>
      <c r="BY271" s="21">
        <f>BW271*BX271*2/3</f>
        <v>3.0399999999999996E-2</v>
      </c>
      <c r="BZ271" s="55">
        <v>4.1500000000000004</v>
      </c>
      <c r="CA271" s="55">
        <v>-0.04</v>
      </c>
      <c r="CB271" s="21">
        <f>BZ271*CA271*2/3</f>
        <v>-0.11066666666666668</v>
      </c>
      <c r="CC271" s="55">
        <v>1.49</v>
      </c>
      <c r="CD271" s="55">
        <v>7.0000000000000007E-2</v>
      </c>
      <c r="CE271" s="21">
        <f t="shared" si="405"/>
        <v>6.9533333333333336E-2</v>
      </c>
      <c r="CF271" s="21"/>
      <c r="CG271" s="21"/>
      <c r="CH271" s="21">
        <f t="shared" si="396"/>
        <v>0</v>
      </c>
      <c r="CI271" s="25">
        <f t="shared" si="406"/>
        <v>3.2952666666666666</v>
      </c>
      <c r="CJ271" s="54">
        <v>0.33</v>
      </c>
      <c r="CK271" s="21">
        <f t="shared" si="386"/>
        <v>1.254</v>
      </c>
      <c r="CL271" s="55"/>
      <c r="CM271" s="55"/>
      <c r="CN271" s="60">
        <v>36746</v>
      </c>
      <c r="CO271" s="55" t="s">
        <v>456</v>
      </c>
      <c r="CP271" s="55"/>
      <c r="CQ271" s="55"/>
      <c r="CR271" s="55"/>
      <c r="CS271" s="55"/>
      <c r="CT271" s="55"/>
      <c r="CU271" s="55"/>
      <c r="CV271" s="55"/>
      <c r="CW271" s="55"/>
      <c r="CX271" s="55"/>
      <c r="CY271" s="21">
        <f t="shared" si="381"/>
        <v>0</v>
      </c>
      <c r="CZ271" s="56"/>
      <c r="DA271" s="56"/>
      <c r="DB271" s="56"/>
      <c r="DC271" s="56"/>
      <c r="DD271" s="61">
        <f t="shared" si="398"/>
        <v>0</v>
      </c>
      <c r="DE271" s="21">
        <f t="shared" si="399"/>
        <v>0</v>
      </c>
      <c r="DF271" s="55"/>
      <c r="DG271" s="55"/>
      <c r="DH271" s="55"/>
      <c r="DI271" s="55"/>
      <c r="DJ271" s="104"/>
      <c r="DK271" s="53"/>
      <c r="DM271" s="58">
        <f t="shared" si="369"/>
        <v>679.28755516182923</v>
      </c>
      <c r="DN271" s="58">
        <f t="shared" si="382"/>
        <v>403.185</v>
      </c>
      <c r="DO271" s="21">
        <f t="shared" si="383"/>
        <v>0.59354097824440155</v>
      </c>
      <c r="DP271" s="62">
        <f t="shared" si="368"/>
        <v>1.0590596507324543</v>
      </c>
      <c r="DQ271" s="7">
        <v>0</v>
      </c>
      <c r="DR271" s="107">
        <f t="shared" si="404"/>
        <v>0</v>
      </c>
    </row>
    <row r="272" spans="1:122" ht="12.75" customHeight="1" x14ac:dyDescent="0.2">
      <c r="A272" s="53" t="s">
        <v>542</v>
      </c>
      <c r="B272" s="54">
        <v>1</v>
      </c>
      <c r="C272" s="92">
        <f t="shared" si="388"/>
        <v>112.26578382232687</v>
      </c>
      <c r="D272" s="92">
        <f t="shared" si="389"/>
        <v>108.29537915747575</v>
      </c>
      <c r="E272" s="92">
        <f>VLOOKUP(A272,[3]TRTOTAL!$A$7:$D$313,3,FALSE)</f>
        <v>112.31456914459545</v>
      </c>
      <c r="F272" s="92">
        <f>VLOOKUP(A272,[3]TRTOTAL!$A$7:$D$313,4,FALSE)</f>
        <v>108.34243913240772</v>
      </c>
      <c r="G272" s="92">
        <f t="shared" si="400"/>
        <v>-4.8785322268585674E-2</v>
      </c>
      <c r="H272" s="92">
        <f t="shared" si="401"/>
        <v>-4.7059974931968895E-2</v>
      </c>
      <c r="I272" s="54">
        <v>4.92</v>
      </c>
      <c r="J272" s="56">
        <v>4.92</v>
      </c>
      <c r="K272" s="54">
        <v>2.44</v>
      </c>
      <c r="L272" s="57">
        <v>1</v>
      </c>
      <c r="M272" s="57">
        <v>130</v>
      </c>
      <c r="N272" s="57"/>
      <c r="O272" s="87" t="s">
        <v>133</v>
      </c>
      <c r="P272" s="24">
        <f t="shared" si="387"/>
        <v>14.3</v>
      </c>
      <c r="Q272" s="24">
        <f t="shared" si="371"/>
        <v>8.27</v>
      </c>
      <c r="R272" s="24">
        <f t="shared" si="372"/>
        <v>3.2</v>
      </c>
      <c r="S272" s="87">
        <v>7.6</v>
      </c>
      <c r="T272" s="21">
        <f t="shared" si="373"/>
        <v>5.0999999999999996</v>
      </c>
      <c r="U272" s="21"/>
      <c r="V272" s="24">
        <f t="shared" si="374"/>
        <v>2.27</v>
      </c>
      <c r="W272" s="24">
        <f t="shared" si="375"/>
        <v>2.4300000000000002</v>
      </c>
      <c r="X272" s="24">
        <f t="shared" si="376"/>
        <v>2.4217175566055311</v>
      </c>
      <c r="Y272" s="25">
        <f t="shared" si="403"/>
        <v>1</v>
      </c>
      <c r="Z272" s="24">
        <f t="shared" si="390"/>
        <v>12.492457690482611</v>
      </c>
      <c r="AA272" s="21">
        <f t="shared" si="377"/>
        <v>0</v>
      </c>
      <c r="AB272" s="24">
        <f t="shared" si="391"/>
        <v>2.8800000000000003</v>
      </c>
      <c r="AC272" s="24">
        <f t="shared" si="331"/>
        <v>17.653057690482612</v>
      </c>
      <c r="AD272" s="58">
        <f t="shared" si="378"/>
        <v>205</v>
      </c>
      <c r="AE272" s="58">
        <f t="shared" si="379"/>
        <v>211</v>
      </c>
      <c r="AF272" s="21">
        <f t="shared" si="392"/>
        <v>2.6549999999999998</v>
      </c>
      <c r="AG272" s="77">
        <f t="shared" si="393"/>
        <v>0</v>
      </c>
      <c r="AH272" s="114">
        <f t="shared" si="402"/>
        <v>1.04</v>
      </c>
      <c r="AI272" s="59">
        <f t="shared" si="394"/>
        <v>106.01532532641431</v>
      </c>
      <c r="AJ272" s="59">
        <f t="shared" si="395"/>
        <v>101.25344069105074</v>
      </c>
      <c r="AK272" s="55"/>
      <c r="AL272" s="55">
        <v>2.27</v>
      </c>
      <c r="AM272" s="21">
        <f t="shared" si="380"/>
        <v>0</v>
      </c>
      <c r="AN272" s="54">
        <v>8.27</v>
      </c>
      <c r="AO272" s="55"/>
      <c r="AP272" s="21"/>
      <c r="AQ272" s="55"/>
      <c r="AR272" s="55"/>
      <c r="AS272" s="21"/>
      <c r="AT272" s="54"/>
      <c r="AU272" s="54"/>
      <c r="AV272" s="21"/>
      <c r="AW272" s="54"/>
      <c r="AX272" s="54"/>
      <c r="AY272" s="21"/>
      <c r="AZ272" s="54"/>
      <c r="BA272" s="54"/>
      <c r="BB272" s="21"/>
      <c r="BC272" s="54"/>
      <c r="BD272" s="54"/>
      <c r="BE272" s="21"/>
      <c r="BF272" s="55"/>
      <c r="BG272" s="55"/>
      <c r="BH272" s="21"/>
      <c r="BI272" s="55"/>
      <c r="BJ272" s="55"/>
      <c r="BK272" s="21"/>
      <c r="BL272" s="55"/>
      <c r="BM272" s="55"/>
      <c r="BN272" s="21"/>
      <c r="BO272" s="55"/>
      <c r="BP272" s="55"/>
      <c r="BQ272" s="21"/>
      <c r="BR272" s="55"/>
      <c r="BS272" s="21">
        <f t="shared" si="385"/>
        <v>0</v>
      </c>
      <c r="BT272" s="56"/>
      <c r="BU272" s="56"/>
      <c r="BV272" s="21"/>
      <c r="BW272" s="77"/>
      <c r="BX272" s="55"/>
      <c r="BY272" s="21"/>
      <c r="BZ272" s="55"/>
      <c r="CA272" s="55"/>
      <c r="CB272" s="21"/>
      <c r="CC272" s="55"/>
      <c r="CD272" s="55"/>
      <c r="CE272" s="21">
        <f t="shared" si="405"/>
        <v>0</v>
      </c>
      <c r="CF272" s="21"/>
      <c r="CG272" s="21"/>
      <c r="CH272" s="21">
        <f t="shared" si="396"/>
        <v>0</v>
      </c>
      <c r="CI272" s="25">
        <f t="shared" si="406"/>
        <v>3.2</v>
      </c>
      <c r="CJ272" s="54"/>
      <c r="CK272" s="21">
        <f t="shared" si="386"/>
        <v>0</v>
      </c>
      <c r="CL272" s="55"/>
      <c r="CM272" s="55"/>
      <c r="CN272" s="60"/>
      <c r="CO272" s="55"/>
      <c r="CP272" s="55"/>
      <c r="CQ272" s="55"/>
      <c r="CR272" s="55"/>
      <c r="CS272" s="55"/>
      <c r="CT272" s="55"/>
      <c r="CU272" s="55"/>
      <c r="CV272" s="55"/>
      <c r="CW272" s="55"/>
      <c r="CX272" s="55"/>
      <c r="CY272" s="21">
        <f t="shared" si="381"/>
        <v>0</v>
      </c>
      <c r="CZ272" s="56"/>
      <c r="DA272" s="56"/>
      <c r="DB272" s="56"/>
      <c r="DC272" s="56"/>
      <c r="DD272" s="61">
        <f t="shared" si="398"/>
        <v>0</v>
      </c>
      <c r="DE272" s="21">
        <f t="shared" si="399"/>
        <v>17.7</v>
      </c>
      <c r="DF272" s="55">
        <v>14.3</v>
      </c>
      <c r="DG272" s="55">
        <v>3.2</v>
      </c>
      <c r="DH272" s="55">
        <v>5.0999999999999996</v>
      </c>
      <c r="DI272" s="55">
        <v>17.7</v>
      </c>
      <c r="DJ272" s="104"/>
      <c r="DK272" s="53" t="s">
        <v>554</v>
      </c>
      <c r="DM272" s="58">
        <f t="shared" si="369"/>
        <v>701.27738472959993</v>
      </c>
      <c r="DN272" s="58">
        <f t="shared" si="382"/>
        <v>416.6</v>
      </c>
      <c r="DO272" s="21">
        <f t="shared" si="383"/>
        <v>0.59405879766197445</v>
      </c>
      <c r="DP272" s="62">
        <f t="shared" si="368"/>
        <v>1.0589580655123945</v>
      </c>
      <c r="DQ272" s="7" t="s">
        <v>130</v>
      </c>
      <c r="DR272" s="107" t="str">
        <f t="shared" si="404"/>
        <v>yes</v>
      </c>
    </row>
    <row r="273" spans="1:122" ht="12.75" customHeight="1" x14ac:dyDescent="0.2">
      <c r="A273" s="53" t="s">
        <v>555</v>
      </c>
      <c r="B273" s="54">
        <v>1</v>
      </c>
      <c r="C273" s="92">
        <f t="shared" si="388"/>
        <v>110.38438902904194</v>
      </c>
      <c r="D273" s="92">
        <f t="shared" si="389"/>
        <v>106.47574476844821</v>
      </c>
      <c r="E273" s="92">
        <f>VLOOKUP(A273,[3]TRTOTAL!$A$7:$D$313,3,FALSE)</f>
        <v>110.43235678741725</v>
      </c>
      <c r="F273" s="92">
        <f>VLOOKUP(A273,[3]TRTOTAL!$A$7:$D$313,4,FALSE)</f>
        <v>106.52201401759486</v>
      </c>
      <c r="G273" s="92">
        <f t="shared" si="400"/>
        <v>-4.7967758375307312E-2</v>
      </c>
      <c r="H273" s="92">
        <f t="shared" si="401"/>
        <v>-4.6269249146646985E-2</v>
      </c>
      <c r="I273" s="54">
        <v>4.92</v>
      </c>
      <c r="J273" s="56">
        <v>4.92</v>
      </c>
      <c r="K273" s="54">
        <v>2.44</v>
      </c>
      <c r="L273" s="57">
        <v>2</v>
      </c>
      <c r="M273" s="57"/>
      <c r="N273" s="57">
        <v>137</v>
      </c>
      <c r="O273" s="87" t="s">
        <v>133</v>
      </c>
      <c r="P273" s="24">
        <f t="shared" si="387"/>
        <v>14.3</v>
      </c>
      <c r="Q273" s="24">
        <f t="shared" si="371"/>
        <v>8.27</v>
      </c>
      <c r="R273" s="24">
        <f t="shared" si="372"/>
        <v>3.2</v>
      </c>
      <c r="S273" s="87">
        <v>7.6</v>
      </c>
      <c r="T273" s="21">
        <f t="shared" si="373"/>
        <v>5.0999999999999996</v>
      </c>
      <c r="U273" s="21"/>
      <c r="V273" s="24">
        <f t="shared" si="374"/>
        <v>2.27</v>
      </c>
      <c r="W273" s="24">
        <f t="shared" si="375"/>
        <v>2.4300000000000002</v>
      </c>
      <c r="X273" s="24">
        <f t="shared" si="376"/>
        <v>2.4217175566055311</v>
      </c>
      <c r="Y273" s="25">
        <f t="shared" si="403"/>
        <v>1</v>
      </c>
      <c r="Z273" s="24">
        <f t="shared" si="390"/>
        <v>12.492457690482611</v>
      </c>
      <c r="AA273" s="21">
        <f t="shared" si="377"/>
        <v>0</v>
      </c>
      <c r="AB273" s="24">
        <f t="shared" si="391"/>
        <v>2.8800000000000003</v>
      </c>
      <c r="AC273" s="24">
        <f t="shared" ref="AC273:AC299" si="407">rsam+rsag+IF(rsascr,rsascr-jibred*rsag,rsas-jibred*rsag)</f>
        <v>17.653057690482612</v>
      </c>
      <c r="AD273" s="58">
        <f t="shared" si="378"/>
        <v>206</v>
      </c>
      <c r="AE273" s="58">
        <f t="shared" si="379"/>
        <v>212</v>
      </c>
      <c r="AF273" s="21">
        <f t="shared" si="392"/>
        <v>2.6549999999999998</v>
      </c>
      <c r="AG273" s="77">
        <f t="shared" si="393"/>
        <v>0</v>
      </c>
      <c r="AH273" s="114">
        <f t="shared" si="402"/>
        <v>1.04</v>
      </c>
      <c r="AI273" s="59">
        <f t="shared" si="394"/>
        <v>106.18312244865574</v>
      </c>
      <c r="AJ273" s="59">
        <f t="shared" si="395"/>
        <v>101.40915097955127</v>
      </c>
      <c r="AK273" s="55"/>
      <c r="AL273" s="55">
        <v>2.27</v>
      </c>
      <c r="AM273" s="21">
        <f t="shared" si="380"/>
        <v>0</v>
      </c>
      <c r="AN273" s="54">
        <v>8.27</v>
      </c>
      <c r="AO273" s="55"/>
      <c r="AP273" s="21"/>
      <c r="AQ273" s="55"/>
      <c r="AR273" s="55"/>
      <c r="AS273" s="21"/>
      <c r="AT273" s="54"/>
      <c r="AU273" s="54"/>
      <c r="AV273" s="21"/>
      <c r="AW273" s="54"/>
      <c r="AX273" s="54"/>
      <c r="AY273" s="21"/>
      <c r="AZ273" s="54"/>
      <c r="BA273" s="54"/>
      <c r="BB273" s="21"/>
      <c r="BC273" s="54"/>
      <c r="BD273" s="54"/>
      <c r="BE273" s="21"/>
      <c r="BF273" s="55"/>
      <c r="BG273" s="55"/>
      <c r="BH273" s="21"/>
      <c r="BI273" s="55"/>
      <c r="BJ273" s="55"/>
      <c r="BK273" s="21"/>
      <c r="BL273" s="55"/>
      <c r="BM273" s="55"/>
      <c r="BN273" s="21"/>
      <c r="BO273" s="55"/>
      <c r="BP273" s="55"/>
      <c r="BQ273" s="21"/>
      <c r="BR273" s="55"/>
      <c r="BS273" s="21">
        <f t="shared" si="385"/>
        <v>0</v>
      </c>
      <c r="BT273" s="56"/>
      <c r="BU273" s="56"/>
      <c r="BV273" s="21"/>
      <c r="BW273" s="77"/>
      <c r="BX273" s="55"/>
      <c r="BY273" s="21"/>
      <c r="BZ273" s="55"/>
      <c r="CA273" s="55"/>
      <c r="CB273" s="21"/>
      <c r="CC273" s="55"/>
      <c r="CD273" s="55"/>
      <c r="CE273" s="21">
        <f t="shared" si="405"/>
        <v>0</v>
      </c>
      <c r="CF273" s="21"/>
      <c r="CG273" s="21"/>
      <c r="CH273" s="21">
        <f t="shared" si="396"/>
        <v>0</v>
      </c>
      <c r="CI273" s="25">
        <f t="shared" si="406"/>
        <v>3.2</v>
      </c>
      <c r="CJ273" s="54"/>
      <c r="CK273" s="21">
        <f t="shared" si="386"/>
        <v>0</v>
      </c>
      <c r="CL273" s="55"/>
      <c r="CM273" s="55"/>
      <c r="CN273" s="60">
        <v>43579</v>
      </c>
      <c r="CO273" s="55" t="s">
        <v>517</v>
      </c>
      <c r="CP273" s="55"/>
      <c r="CQ273" s="55"/>
      <c r="CR273" s="55"/>
      <c r="CS273" s="55"/>
      <c r="CT273" s="55"/>
      <c r="CU273" s="55"/>
      <c r="CV273" s="55"/>
      <c r="CW273" s="55"/>
      <c r="CX273" s="55"/>
      <c r="CY273" s="21">
        <f t="shared" si="381"/>
        <v>0</v>
      </c>
      <c r="CZ273" s="56"/>
      <c r="DA273" s="56"/>
      <c r="DB273" s="56"/>
      <c r="DC273" s="56"/>
      <c r="DD273" s="61">
        <f t="shared" si="398"/>
        <v>0</v>
      </c>
      <c r="DE273" s="21">
        <f t="shared" si="399"/>
        <v>17.7</v>
      </c>
      <c r="DF273" s="55">
        <v>14.3</v>
      </c>
      <c r="DG273" s="55">
        <v>3.2</v>
      </c>
      <c r="DH273" s="55">
        <v>5.0999999999999996</v>
      </c>
      <c r="DI273" s="55">
        <v>17.7</v>
      </c>
      <c r="DJ273" s="104"/>
      <c r="DK273" s="53" t="s">
        <v>554</v>
      </c>
      <c r="DM273" s="58">
        <f t="shared" si="369"/>
        <v>701.27738472959993</v>
      </c>
      <c r="DN273" s="58">
        <f t="shared" si="382"/>
        <v>492.82</v>
      </c>
      <c r="DO273" s="21">
        <f t="shared" si="383"/>
        <v>0.70274617538111916</v>
      </c>
      <c r="DP273" s="62">
        <f t="shared" si="368"/>
        <v>1.0395662369263787</v>
      </c>
      <c r="DQ273" s="7" t="s">
        <v>130</v>
      </c>
      <c r="DR273" s="107" t="str">
        <f t="shared" si="404"/>
        <v>yes</v>
      </c>
    </row>
    <row r="274" spans="1:122" ht="12.75" customHeight="1" x14ac:dyDescent="0.2">
      <c r="A274" s="53" t="s">
        <v>556</v>
      </c>
      <c r="B274" s="54">
        <v>1</v>
      </c>
      <c r="C274" s="92">
        <f t="shared" si="388"/>
        <v>117.15348083668994</v>
      </c>
      <c r="D274" s="92">
        <f t="shared" si="389"/>
        <v>109.79254727988894</v>
      </c>
      <c r="E274" s="92">
        <f>VLOOKUP(A274,[3]TRTOTAL!$A$7:$D$313,3,FALSE)</f>
        <v>117.2112398587133</v>
      </c>
      <c r="F274" s="92">
        <f>VLOOKUP(A274,[3]TRTOTAL!$A$7:$D$313,4,FALSE)</f>
        <v>109.84667721363951</v>
      </c>
      <c r="G274" s="92">
        <f t="shared" si="400"/>
        <v>-5.7759022023361695E-2</v>
      </c>
      <c r="H274" s="92">
        <f t="shared" si="401"/>
        <v>-5.41299337505734E-2</v>
      </c>
      <c r="I274" s="54">
        <v>4.91</v>
      </c>
      <c r="J274" s="56">
        <v>4.92</v>
      </c>
      <c r="K274" s="54">
        <v>2.44</v>
      </c>
      <c r="L274" s="57">
        <v>1</v>
      </c>
      <c r="M274" s="57"/>
      <c r="N274" s="57">
        <v>137</v>
      </c>
      <c r="O274" s="87" t="s">
        <v>133</v>
      </c>
      <c r="P274" s="24">
        <f t="shared" si="387"/>
        <v>15.3</v>
      </c>
      <c r="Q274" s="24">
        <f t="shared" si="371"/>
        <v>8.27</v>
      </c>
      <c r="R274" s="24">
        <f t="shared" si="372"/>
        <v>0</v>
      </c>
      <c r="S274" s="87">
        <v>7.6</v>
      </c>
      <c r="T274" s="21">
        <f t="shared" si="373"/>
        <v>0</v>
      </c>
      <c r="U274" s="21"/>
      <c r="V274" s="24">
        <f t="shared" si="374"/>
        <v>2.27</v>
      </c>
      <c r="W274" s="24">
        <f t="shared" si="375"/>
        <v>2.4300000000000002</v>
      </c>
      <c r="X274" s="24">
        <f t="shared" si="376"/>
        <v>2.5910684346898338</v>
      </c>
      <c r="Y274" s="25">
        <f t="shared" si="403"/>
        <v>1</v>
      </c>
      <c r="Z274" s="24">
        <f t="shared" si="390"/>
        <v>13.639859556381081</v>
      </c>
      <c r="AA274" s="21">
        <f t="shared" si="377"/>
        <v>0</v>
      </c>
      <c r="AB274" s="24">
        <f t="shared" si="391"/>
        <v>0</v>
      </c>
      <c r="AC274" s="24">
        <f t="shared" si="407"/>
        <v>16.834489165783047</v>
      </c>
      <c r="AD274" s="58">
        <f t="shared" si="378"/>
        <v>206</v>
      </c>
      <c r="AE274" s="58">
        <f t="shared" si="379"/>
        <v>212</v>
      </c>
      <c r="AF274" s="21">
        <f t="shared" si="392"/>
        <v>2.6549999999999998</v>
      </c>
      <c r="AG274" s="77">
        <f t="shared" si="393"/>
        <v>3.1946296094019671</v>
      </c>
      <c r="AH274" s="114">
        <f t="shared" si="402"/>
        <v>1.04</v>
      </c>
      <c r="AI274" s="59">
        <f t="shared" si="394"/>
        <v>111.38555042047383</v>
      </c>
      <c r="AJ274" s="59">
        <f t="shared" si="395"/>
        <v>103.35348991223412</v>
      </c>
      <c r="AK274" s="55"/>
      <c r="AL274" s="55">
        <v>2.27</v>
      </c>
      <c r="AM274" s="21">
        <f t="shared" si="380"/>
        <v>0</v>
      </c>
      <c r="AN274" s="54">
        <v>8.27</v>
      </c>
      <c r="AO274" s="55"/>
      <c r="AP274" s="21"/>
      <c r="AQ274" s="55"/>
      <c r="AR274" s="55"/>
      <c r="AS274" s="21"/>
      <c r="AT274" s="54"/>
      <c r="AU274" s="54"/>
      <c r="AV274" s="21"/>
      <c r="AW274" s="54"/>
      <c r="AX274" s="54"/>
      <c r="AY274" s="21"/>
      <c r="AZ274" s="54"/>
      <c r="BA274" s="54"/>
      <c r="BB274" s="21"/>
      <c r="BC274" s="54"/>
      <c r="BD274" s="54"/>
      <c r="BE274" s="21"/>
      <c r="BF274" s="55"/>
      <c r="BG274" s="55"/>
      <c r="BH274" s="21"/>
      <c r="BI274" s="55"/>
      <c r="BJ274" s="55"/>
      <c r="BK274" s="21"/>
      <c r="BL274" s="55"/>
      <c r="BM274" s="55"/>
      <c r="BN274" s="21"/>
      <c r="BO274" s="55"/>
      <c r="BP274" s="55"/>
      <c r="BQ274" s="21"/>
      <c r="BR274" s="55"/>
      <c r="BS274" s="21">
        <f t="shared" si="385"/>
        <v>0</v>
      </c>
      <c r="BT274" s="56"/>
      <c r="BU274" s="56"/>
      <c r="BV274" s="21"/>
      <c r="BW274" s="77"/>
      <c r="BX274" s="55"/>
      <c r="BY274" s="21"/>
      <c r="BZ274" s="55"/>
      <c r="CA274" s="55"/>
      <c r="CB274" s="21"/>
      <c r="CC274" s="55"/>
      <c r="CD274" s="55"/>
      <c r="CE274" s="21">
        <f t="shared" si="405"/>
        <v>0</v>
      </c>
      <c r="CF274" s="21"/>
      <c r="CG274" s="21"/>
      <c r="CH274" s="21">
        <f t="shared" si="396"/>
        <v>0</v>
      </c>
      <c r="CI274" s="25">
        <f t="shared" si="406"/>
        <v>0</v>
      </c>
      <c r="CJ274" s="54"/>
      <c r="CK274" s="21">
        <f t="shared" si="386"/>
        <v>0</v>
      </c>
      <c r="CL274" s="55"/>
      <c r="CM274" s="55"/>
      <c r="CN274" s="60">
        <v>43579</v>
      </c>
      <c r="CO274" s="55" t="s">
        <v>517</v>
      </c>
      <c r="CP274" s="55"/>
      <c r="CQ274" s="55"/>
      <c r="CR274" s="55"/>
      <c r="CS274" s="55"/>
      <c r="CT274" s="55"/>
      <c r="CU274" s="55"/>
      <c r="CV274" s="55"/>
      <c r="CW274" s="55"/>
      <c r="CX274" s="55"/>
      <c r="CY274" s="21">
        <f t="shared" si="381"/>
        <v>0</v>
      </c>
      <c r="CZ274" s="56"/>
      <c r="DA274" s="56"/>
      <c r="DB274" s="56"/>
      <c r="DC274" s="56"/>
      <c r="DD274" s="61">
        <f t="shared" si="398"/>
        <v>0.69</v>
      </c>
      <c r="DE274" s="21">
        <f t="shared" si="399"/>
        <v>17.7</v>
      </c>
      <c r="DF274" s="55">
        <v>15.3</v>
      </c>
      <c r="DG274" s="55"/>
      <c r="DH274" s="55"/>
      <c r="DI274" s="55">
        <v>17.7</v>
      </c>
      <c r="DJ274" s="104">
        <v>0.69</v>
      </c>
      <c r="DK274" s="53" t="s">
        <v>554</v>
      </c>
      <c r="DM274" s="58">
        <f t="shared" si="369"/>
        <v>661.17983823359998</v>
      </c>
      <c r="DN274" s="58">
        <f t="shared" si="382"/>
        <v>417.82</v>
      </c>
      <c r="DO274" s="21">
        <f t="shared" si="383"/>
        <v>0.6319309450152667</v>
      </c>
      <c r="DP274" s="62">
        <f t="shared" si="368"/>
        <v>1.0517834709658704</v>
      </c>
      <c r="DQ274" s="7" t="s">
        <v>130</v>
      </c>
      <c r="DR274" s="107" t="str">
        <f t="shared" si="404"/>
        <v>yes</v>
      </c>
    </row>
    <row r="275" spans="1:122" ht="12.75" customHeight="1" x14ac:dyDescent="0.2">
      <c r="A275" s="53" t="s">
        <v>580</v>
      </c>
      <c r="B275" s="54">
        <v>1</v>
      </c>
      <c r="C275" s="92">
        <f t="shared" si="388"/>
        <v>128.40750819316918</v>
      </c>
      <c r="D275" s="92">
        <f t="shared" si="389"/>
        <v>121.176282877834</v>
      </c>
      <c r="E275" s="92">
        <f>VLOOKUP(A275,[3]TRTOTAL!$A$7:$D$313,3,FALSE)</f>
        <v>128.40750819316918</v>
      </c>
      <c r="F275" s="92">
        <f>VLOOKUP(A275,[3]TRTOTAL!$A$7:$D$313,4,FALSE)</f>
        <v>121.176282877834</v>
      </c>
      <c r="G275" s="92">
        <f t="shared" si="400"/>
        <v>0</v>
      </c>
      <c r="H275" s="92">
        <f t="shared" si="401"/>
        <v>0</v>
      </c>
      <c r="I275" s="54">
        <v>4.5</v>
      </c>
      <c r="J275" s="56">
        <v>4.5</v>
      </c>
      <c r="K275" s="54">
        <v>2.21</v>
      </c>
      <c r="L275" s="57">
        <v>1</v>
      </c>
      <c r="M275" s="57">
        <v>115</v>
      </c>
      <c r="N275" s="57"/>
      <c r="O275" s="87" t="s">
        <v>133</v>
      </c>
      <c r="P275" s="24">
        <f t="shared" si="387"/>
        <v>11</v>
      </c>
      <c r="Q275" s="24">
        <f t="shared" si="371"/>
        <v>6.4</v>
      </c>
      <c r="R275" s="24">
        <f t="shared" si="372"/>
        <v>0</v>
      </c>
      <c r="S275" s="87">
        <v>7</v>
      </c>
      <c r="T275" s="21">
        <f t="shared" si="373"/>
        <v>0</v>
      </c>
      <c r="U275" s="21"/>
      <c r="V275" s="24">
        <f t="shared" si="374"/>
        <v>1.92</v>
      </c>
      <c r="W275" s="24">
        <f t="shared" si="375"/>
        <v>2.08</v>
      </c>
      <c r="X275" s="24">
        <f t="shared" si="376"/>
        <v>2.5425295857988162</v>
      </c>
      <c r="Y275" s="25">
        <f t="shared" si="403"/>
        <v>1</v>
      </c>
      <c r="Z275" s="24">
        <f t="shared" si="390"/>
        <v>9.7509581484062</v>
      </c>
      <c r="AA275" s="21">
        <f t="shared" si="377"/>
        <v>0</v>
      </c>
      <c r="AB275" s="24">
        <f t="shared" si="391"/>
        <v>0</v>
      </c>
      <c r="AC275" s="24">
        <f t="shared" si="407"/>
        <v>11.8509581484062</v>
      </c>
      <c r="AD275" s="58">
        <f t="shared" si="378"/>
        <v>190</v>
      </c>
      <c r="AE275" s="58">
        <f t="shared" si="379"/>
        <v>196</v>
      </c>
      <c r="AF275" s="21">
        <f t="shared" si="392"/>
        <v>2.1</v>
      </c>
      <c r="AG275" s="77">
        <f t="shared" si="393"/>
        <v>0</v>
      </c>
      <c r="AH275" s="114">
        <f t="shared" si="402"/>
        <v>1.04</v>
      </c>
      <c r="AI275" s="59">
        <f t="shared" si="394"/>
        <v>127.45232083952406</v>
      </c>
      <c r="AJ275" s="59">
        <f t="shared" si="395"/>
        <v>119.08404611520933</v>
      </c>
      <c r="AK275" s="55"/>
      <c r="AL275" s="55"/>
      <c r="AM275" s="21">
        <f t="shared" si="380"/>
        <v>0</v>
      </c>
      <c r="AN275" s="54">
        <v>6.4</v>
      </c>
      <c r="AO275" s="55"/>
      <c r="AP275" s="21">
        <f t="shared" ref="AP275:AP280" si="408">AN275*AO275*2/3</f>
        <v>0</v>
      </c>
      <c r="AQ275" s="55"/>
      <c r="AR275" s="55"/>
      <c r="AS275" s="21">
        <f t="shared" ref="AS275:AS280" si="409">AQ275*AR275*2/3</f>
        <v>0</v>
      </c>
      <c r="AT275" s="54"/>
      <c r="AU275" s="54"/>
      <c r="AV275" s="21">
        <f t="shared" ref="AV275:AV280" si="410">AT275*AU275*0.5</f>
        <v>0</v>
      </c>
      <c r="AW275" s="54"/>
      <c r="AX275" s="54"/>
      <c r="AY275" s="21">
        <f t="shared" ref="AY275:AY280" si="411">AW275*AX275*0.5</f>
        <v>0</v>
      </c>
      <c r="AZ275" s="54"/>
      <c r="BA275" s="54"/>
      <c r="BB275" s="21">
        <f t="shared" ref="BB275:BB280" si="412">AZ275*BA275*2/3</f>
        <v>0</v>
      </c>
      <c r="BC275" s="54"/>
      <c r="BD275" s="54"/>
      <c r="BE275" s="21">
        <f t="shared" ref="BE275:BE280" si="413">BC275*BD275*2/3</f>
        <v>0</v>
      </c>
      <c r="BF275" s="55"/>
      <c r="BG275" s="55"/>
      <c r="BH275" s="21">
        <f t="shared" ref="BH275:BH280" si="414">BF275*BG275*0.5</f>
        <v>0</v>
      </c>
      <c r="BI275" s="55"/>
      <c r="BJ275" s="55"/>
      <c r="BK275" s="21">
        <f t="shared" ref="BK275:BK280" si="415">BI275*BJ275*2/3</f>
        <v>0</v>
      </c>
      <c r="BL275" s="55"/>
      <c r="BM275" s="55"/>
      <c r="BN275" s="21">
        <f t="shared" ref="BN275:BN280" si="416">BL275*BM275*0.5</f>
        <v>0</v>
      </c>
      <c r="BO275" s="55"/>
      <c r="BP275" s="55"/>
      <c r="BQ275" s="21">
        <f t="shared" ref="BQ275:BQ280" si="417">BO275*BP275*0.5</f>
        <v>0</v>
      </c>
      <c r="BR275" s="55"/>
      <c r="BS275" s="21">
        <f t="shared" si="385"/>
        <v>0</v>
      </c>
      <c r="BT275" s="56">
        <v>0</v>
      </c>
      <c r="BU275" s="56"/>
      <c r="BV275" s="21">
        <f t="shared" ref="BV275:BV292" si="418">BT275*BU275*0.5</f>
        <v>0</v>
      </c>
      <c r="BW275" s="77">
        <f t="shared" ref="BW275:BW295" si="419">BT275-CF275</f>
        <v>0</v>
      </c>
      <c r="BX275" s="55"/>
      <c r="BY275" s="21">
        <f t="shared" ref="BY275:BY280" si="420">BW275*BX275*2/3</f>
        <v>0</v>
      </c>
      <c r="BZ275" s="55"/>
      <c r="CA275" s="55"/>
      <c r="CB275" s="21">
        <f t="shared" ref="CB275:CB280" si="421">BZ275*CA275*2/3</f>
        <v>0</v>
      </c>
      <c r="CC275" s="54"/>
      <c r="CD275" s="54"/>
      <c r="CE275" s="21">
        <f t="shared" si="405"/>
        <v>0</v>
      </c>
      <c r="CF275" s="21"/>
      <c r="CG275" s="21"/>
      <c r="CH275" s="21">
        <f t="shared" si="396"/>
        <v>0</v>
      </c>
      <c r="CI275" s="25">
        <f t="shared" si="406"/>
        <v>0</v>
      </c>
      <c r="CJ275" s="54"/>
      <c r="CK275" s="21">
        <f t="shared" si="386"/>
        <v>0</v>
      </c>
      <c r="CL275" s="55"/>
      <c r="CM275" s="55"/>
      <c r="CN275" s="60"/>
      <c r="CO275" s="55"/>
      <c r="CP275" s="55"/>
      <c r="CQ275" s="55"/>
      <c r="CR275" s="55"/>
      <c r="CS275" s="55"/>
      <c r="CT275" s="55"/>
      <c r="CU275" s="55"/>
      <c r="CV275" s="55"/>
      <c r="CW275" s="55"/>
      <c r="CX275" s="55"/>
      <c r="CY275" s="21">
        <f t="shared" si="381"/>
        <v>0</v>
      </c>
      <c r="CZ275" s="56"/>
      <c r="DA275" s="56"/>
      <c r="DB275" s="56"/>
      <c r="DC275" s="56"/>
      <c r="DD275" s="61">
        <f t="shared" si="398"/>
        <v>0</v>
      </c>
      <c r="DE275" s="21">
        <f t="shared" si="399"/>
        <v>0</v>
      </c>
      <c r="DF275" s="55">
        <v>11</v>
      </c>
      <c r="DG275" s="55"/>
      <c r="DH275" s="55"/>
      <c r="DI275" s="55"/>
      <c r="DJ275" s="104"/>
      <c r="DK275" s="53" t="s">
        <v>534</v>
      </c>
      <c r="DM275" s="58">
        <f t="shared" si="369"/>
        <v>393.65889024000001</v>
      </c>
      <c r="DN275" s="58">
        <f t="shared" si="382"/>
        <v>367.82499999999999</v>
      </c>
      <c r="DO275" s="21">
        <f t="shared" si="383"/>
        <v>0.93437493505036806</v>
      </c>
      <c r="DP275" s="62">
        <f t="shared" si="368"/>
        <v>1.0074944681066091</v>
      </c>
      <c r="DQ275" s="7" t="s">
        <v>130</v>
      </c>
      <c r="DR275" s="107">
        <f t="shared" si="404"/>
        <v>0</v>
      </c>
    </row>
    <row r="276" spans="1:122" ht="12.75" customHeight="1" x14ac:dyDescent="0.2">
      <c r="A276" s="53" t="s">
        <v>535</v>
      </c>
      <c r="B276" s="54">
        <v>2</v>
      </c>
      <c r="C276" s="92">
        <f t="shared" si="388"/>
        <v>120.0062093475017</v>
      </c>
      <c r="D276" s="92">
        <f t="shared" si="389"/>
        <v>114.10488647952049</v>
      </c>
      <c r="E276" s="92">
        <f>VLOOKUP(A276,[3]TRTOTAL!$A$7:$D$313,3,FALSE)</f>
        <v>120.0062093475017</v>
      </c>
      <c r="F276" s="92">
        <f>VLOOKUP(A276,[3]TRTOTAL!$A$7:$D$313,4,FALSE)</f>
        <v>114.10488647952049</v>
      </c>
      <c r="G276" s="92">
        <f t="shared" si="400"/>
        <v>0</v>
      </c>
      <c r="H276" s="92">
        <f t="shared" si="401"/>
        <v>0</v>
      </c>
      <c r="I276" s="54">
        <v>4.5</v>
      </c>
      <c r="J276" s="56">
        <v>4.5</v>
      </c>
      <c r="K276" s="54">
        <v>2.21</v>
      </c>
      <c r="L276" s="57">
        <v>2</v>
      </c>
      <c r="M276" s="57">
        <v>117</v>
      </c>
      <c r="N276" s="57"/>
      <c r="O276" s="87" t="s">
        <v>133</v>
      </c>
      <c r="P276" s="24">
        <f t="shared" si="387"/>
        <v>13.1</v>
      </c>
      <c r="Q276" s="24">
        <f t="shared" si="371"/>
        <v>6.4</v>
      </c>
      <c r="R276" s="24">
        <f t="shared" si="372"/>
        <v>2.5</v>
      </c>
      <c r="S276" s="87">
        <v>7</v>
      </c>
      <c r="T276" s="21">
        <f t="shared" si="373"/>
        <v>3.7</v>
      </c>
      <c r="U276" s="21"/>
      <c r="V276" s="24">
        <f t="shared" si="374"/>
        <v>1.92</v>
      </c>
      <c r="W276" s="24">
        <f t="shared" si="375"/>
        <v>2.08</v>
      </c>
      <c r="X276" s="24">
        <f t="shared" si="376"/>
        <v>3.0279215976331355</v>
      </c>
      <c r="Y276" s="25">
        <f t="shared" si="403"/>
        <v>1</v>
      </c>
      <c r="Z276" s="24">
        <f t="shared" si="390"/>
        <v>12.237409303176209</v>
      </c>
      <c r="AA276" s="21">
        <f t="shared" si="377"/>
        <v>0</v>
      </c>
      <c r="AB276" s="24">
        <f t="shared" si="391"/>
        <v>2.25</v>
      </c>
      <c r="AC276" s="24">
        <f t="shared" si="407"/>
        <v>16.744909303176208</v>
      </c>
      <c r="AD276" s="58">
        <f t="shared" si="378"/>
        <v>257</v>
      </c>
      <c r="AE276" s="58">
        <f t="shared" si="379"/>
        <v>263</v>
      </c>
      <c r="AF276" s="21">
        <f t="shared" si="392"/>
        <v>2.5499999999999998</v>
      </c>
      <c r="AG276" s="77">
        <f t="shared" si="393"/>
        <v>0</v>
      </c>
      <c r="AH276" s="114">
        <f t="shared" si="402"/>
        <v>1.04</v>
      </c>
      <c r="AI276" s="59">
        <f t="shared" si="394"/>
        <v>120.0062093475017</v>
      </c>
      <c r="AJ276" s="59">
        <f t="shared" si="395"/>
        <v>114.10488647952049</v>
      </c>
      <c r="AK276" s="55"/>
      <c r="AL276" s="55"/>
      <c r="AM276" s="21">
        <f t="shared" si="380"/>
        <v>0</v>
      </c>
      <c r="AN276" s="54">
        <v>6.4</v>
      </c>
      <c r="AO276" s="55"/>
      <c r="AP276" s="21">
        <f t="shared" si="408"/>
        <v>0</v>
      </c>
      <c r="AQ276" s="55"/>
      <c r="AR276" s="55"/>
      <c r="AS276" s="21">
        <f t="shared" si="409"/>
        <v>0</v>
      </c>
      <c r="AT276" s="54"/>
      <c r="AU276" s="54"/>
      <c r="AV276" s="21">
        <f t="shared" si="410"/>
        <v>0</v>
      </c>
      <c r="AW276" s="54"/>
      <c r="AX276" s="54"/>
      <c r="AY276" s="21">
        <f t="shared" si="411"/>
        <v>0</v>
      </c>
      <c r="AZ276" s="54"/>
      <c r="BA276" s="54"/>
      <c r="BB276" s="21">
        <f t="shared" si="412"/>
        <v>0</v>
      </c>
      <c r="BC276" s="54"/>
      <c r="BD276" s="54"/>
      <c r="BE276" s="21">
        <f t="shared" si="413"/>
        <v>0</v>
      </c>
      <c r="BF276" s="55"/>
      <c r="BG276" s="55"/>
      <c r="BH276" s="21">
        <f t="shared" si="414"/>
        <v>0</v>
      </c>
      <c r="BI276" s="55"/>
      <c r="BJ276" s="55"/>
      <c r="BK276" s="21">
        <f t="shared" si="415"/>
        <v>0</v>
      </c>
      <c r="BL276" s="55"/>
      <c r="BM276" s="55"/>
      <c r="BN276" s="21">
        <f t="shared" si="416"/>
        <v>0</v>
      </c>
      <c r="BO276" s="55"/>
      <c r="BP276" s="55"/>
      <c r="BQ276" s="21">
        <f t="shared" si="417"/>
        <v>0</v>
      </c>
      <c r="BR276" s="55"/>
      <c r="BS276" s="21">
        <f t="shared" si="385"/>
        <v>0</v>
      </c>
      <c r="BT276" s="56">
        <v>0</v>
      </c>
      <c r="BU276" s="56"/>
      <c r="BV276" s="21">
        <f t="shared" si="418"/>
        <v>0</v>
      </c>
      <c r="BW276" s="77">
        <f t="shared" si="419"/>
        <v>0</v>
      </c>
      <c r="BX276" s="55"/>
      <c r="BY276" s="21">
        <f t="shared" si="420"/>
        <v>0</v>
      </c>
      <c r="BZ276" s="55"/>
      <c r="CA276" s="55"/>
      <c r="CB276" s="21">
        <f t="shared" si="421"/>
        <v>0</v>
      </c>
      <c r="CC276" s="54"/>
      <c r="CD276" s="54"/>
      <c r="CE276" s="21">
        <f t="shared" si="405"/>
        <v>0</v>
      </c>
      <c r="CF276" s="21"/>
      <c r="CG276" s="21"/>
      <c r="CH276" s="21">
        <f t="shared" si="396"/>
        <v>0</v>
      </c>
      <c r="CI276" s="25">
        <f t="shared" si="406"/>
        <v>2.5</v>
      </c>
      <c r="CJ276" s="54"/>
      <c r="CK276" s="21">
        <f t="shared" si="386"/>
        <v>0</v>
      </c>
      <c r="CL276" s="55"/>
      <c r="CM276" s="55"/>
      <c r="CN276" s="60"/>
      <c r="CO276" s="55"/>
      <c r="CP276" s="55"/>
      <c r="CQ276" s="55"/>
      <c r="CR276" s="55"/>
      <c r="CS276" s="55"/>
      <c r="CT276" s="55"/>
      <c r="CU276" s="55"/>
      <c r="CV276" s="55"/>
      <c r="CW276" s="55"/>
      <c r="CX276" s="55"/>
      <c r="CY276" s="21">
        <f t="shared" si="381"/>
        <v>0</v>
      </c>
      <c r="CZ276" s="56"/>
      <c r="DA276" s="56"/>
      <c r="DB276" s="56"/>
      <c r="DC276" s="56"/>
      <c r="DD276" s="61">
        <f t="shared" si="398"/>
        <v>0</v>
      </c>
      <c r="DE276" s="21">
        <f t="shared" si="399"/>
        <v>0</v>
      </c>
      <c r="DF276" s="55">
        <v>13.1</v>
      </c>
      <c r="DG276" s="55">
        <v>2.5</v>
      </c>
      <c r="DH276" s="55">
        <v>3.7</v>
      </c>
      <c r="DI276" s="55"/>
      <c r="DJ276" s="104"/>
      <c r="DK276" s="53" t="s">
        <v>534</v>
      </c>
      <c r="DM276" s="58">
        <f t="shared" si="369"/>
        <v>522.69163430399999</v>
      </c>
      <c r="DN276" s="58">
        <f t="shared" si="382"/>
        <v>578.68499999999995</v>
      </c>
      <c r="DO276" s="21">
        <f t="shared" si="383"/>
        <v>1.1071250466263134</v>
      </c>
      <c r="DP276" s="62">
        <f t="shared" ref="DP276:DP295" si="422">IF((1/DO276)^$DP$5&lt;1,1,(1/DO276)^$DP$5)</f>
        <v>1</v>
      </c>
      <c r="DQ276" s="7" t="s">
        <v>130</v>
      </c>
      <c r="DR276" s="107">
        <f t="shared" si="404"/>
        <v>0</v>
      </c>
    </row>
    <row r="277" spans="1:122" ht="12.75" customHeight="1" x14ac:dyDescent="0.2">
      <c r="A277" s="53" t="s">
        <v>459</v>
      </c>
      <c r="B277" s="54">
        <v>2</v>
      </c>
      <c r="C277" s="92">
        <f t="shared" si="388"/>
        <v>115.08888056204617</v>
      </c>
      <c r="D277" s="92">
        <f t="shared" si="389"/>
        <v>109.42969857391688</v>
      </c>
      <c r="E277" s="92">
        <f>VLOOKUP(A277,[3]TRTOTAL!$A$7:$D$313,3,FALSE)</f>
        <v>115.08888056204617</v>
      </c>
      <c r="F277" s="92">
        <f>VLOOKUP(A277,[3]TRTOTAL!$A$7:$D$313,4,FALSE)</f>
        <v>109.42969857391688</v>
      </c>
      <c r="G277" s="92">
        <f t="shared" si="400"/>
        <v>0</v>
      </c>
      <c r="H277" s="92">
        <f t="shared" si="401"/>
        <v>0</v>
      </c>
      <c r="I277" s="54">
        <v>5.49</v>
      </c>
      <c r="J277" s="56">
        <v>5.25</v>
      </c>
      <c r="K277" s="54">
        <v>2.2999999999999998</v>
      </c>
      <c r="L277" s="57">
        <v>2</v>
      </c>
      <c r="M277" s="57">
        <v>168</v>
      </c>
      <c r="N277" s="57"/>
      <c r="O277" s="87" t="s">
        <v>133</v>
      </c>
      <c r="P277" s="24">
        <f t="shared" si="387"/>
        <v>14.747416666666666</v>
      </c>
      <c r="Q277" s="24">
        <f t="shared" si="371"/>
        <v>8.4499999999999993</v>
      </c>
      <c r="R277" s="24">
        <f t="shared" si="372"/>
        <v>4.5389999999999997</v>
      </c>
      <c r="S277" s="87">
        <v>9.1999999999999993</v>
      </c>
      <c r="T277" s="21">
        <f t="shared" si="373"/>
        <v>5.0195999999999996</v>
      </c>
      <c r="U277" s="21"/>
      <c r="V277" s="24">
        <f t="shared" si="374"/>
        <v>2.0150000000000001</v>
      </c>
      <c r="W277" s="24">
        <f t="shared" si="375"/>
        <v>2.1775000000000002</v>
      </c>
      <c r="X277" s="24">
        <f t="shared" si="376"/>
        <v>3.1102809717200439</v>
      </c>
      <c r="Y277" s="25">
        <f t="shared" si="403"/>
        <v>0.99478324439224508</v>
      </c>
      <c r="Z277" s="24">
        <f t="shared" si="390"/>
        <v>13.815261255983575</v>
      </c>
      <c r="AA277" s="21">
        <f t="shared" si="377"/>
        <v>1.5705882352941176</v>
      </c>
      <c r="AB277" s="24">
        <f t="shared" si="391"/>
        <v>3.7420654670699456</v>
      </c>
      <c r="AC277" s="24">
        <f t="shared" si="407"/>
        <v>20.220858212334427</v>
      </c>
      <c r="AD277" s="58">
        <f t="shared" si="378"/>
        <v>318</v>
      </c>
      <c r="AE277" s="58">
        <f t="shared" si="379"/>
        <v>324</v>
      </c>
      <c r="AF277" s="21">
        <f t="shared" si="392"/>
        <v>3.15</v>
      </c>
      <c r="AG277" s="77">
        <f t="shared" si="393"/>
        <v>0</v>
      </c>
      <c r="AH277" s="114">
        <f t="shared" si="402"/>
        <v>1.04</v>
      </c>
      <c r="AI277" s="59">
        <f t="shared" si="394"/>
        <v>113.70856153168599</v>
      </c>
      <c r="AJ277" s="59">
        <f t="shared" si="395"/>
        <v>108.11725296935022</v>
      </c>
      <c r="AK277" s="55">
        <v>8.4499999999999993</v>
      </c>
      <c r="AL277" s="55"/>
      <c r="AM277" s="21">
        <f t="shared" si="380"/>
        <v>0</v>
      </c>
      <c r="AN277" s="54">
        <v>8.4499999999999993</v>
      </c>
      <c r="AO277" s="55"/>
      <c r="AP277" s="21">
        <f t="shared" si="408"/>
        <v>0</v>
      </c>
      <c r="AQ277" s="55"/>
      <c r="AR277" s="55"/>
      <c r="AS277" s="21">
        <f t="shared" si="409"/>
        <v>0</v>
      </c>
      <c r="AT277" s="54"/>
      <c r="AU277" s="54"/>
      <c r="AV277" s="21">
        <f t="shared" si="410"/>
        <v>0</v>
      </c>
      <c r="AW277" s="54"/>
      <c r="AX277" s="54"/>
      <c r="AY277" s="21">
        <f t="shared" si="411"/>
        <v>0</v>
      </c>
      <c r="AZ277" s="54"/>
      <c r="BA277" s="54"/>
      <c r="BB277" s="21">
        <f t="shared" si="412"/>
        <v>0</v>
      </c>
      <c r="BC277" s="54"/>
      <c r="BD277" s="54"/>
      <c r="BE277" s="21">
        <f t="shared" si="413"/>
        <v>0</v>
      </c>
      <c r="BF277" s="55"/>
      <c r="BG277" s="55"/>
      <c r="BH277" s="21">
        <f t="shared" si="414"/>
        <v>0</v>
      </c>
      <c r="BI277" s="55"/>
      <c r="BJ277" s="55"/>
      <c r="BK277" s="21">
        <f t="shared" si="415"/>
        <v>0</v>
      </c>
      <c r="BL277" s="55"/>
      <c r="BM277" s="55"/>
      <c r="BN277" s="21">
        <f t="shared" si="416"/>
        <v>0</v>
      </c>
      <c r="BO277" s="55"/>
      <c r="BP277" s="55"/>
      <c r="BQ277" s="21">
        <f t="shared" si="417"/>
        <v>0</v>
      </c>
      <c r="BR277" s="55"/>
      <c r="BS277" s="21">
        <f t="shared" si="385"/>
        <v>0</v>
      </c>
      <c r="BT277" s="56">
        <v>5.34</v>
      </c>
      <c r="BU277" s="56">
        <v>1.7</v>
      </c>
      <c r="BV277" s="21">
        <f t="shared" si="418"/>
        <v>4.5389999999999997</v>
      </c>
      <c r="BW277" s="77">
        <f t="shared" si="419"/>
        <v>5.34</v>
      </c>
      <c r="BX277" s="55"/>
      <c r="BY277" s="21">
        <f t="shared" si="420"/>
        <v>0</v>
      </c>
      <c r="BZ277" s="55"/>
      <c r="CA277" s="55"/>
      <c r="CB277" s="21">
        <f t="shared" si="421"/>
        <v>0</v>
      </c>
      <c r="CC277" s="54"/>
      <c r="CD277" s="54"/>
      <c r="CE277" s="21">
        <f t="shared" si="405"/>
        <v>0</v>
      </c>
      <c r="CF277" s="21"/>
      <c r="CG277" s="21"/>
      <c r="CH277" s="21">
        <f t="shared" si="396"/>
        <v>0</v>
      </c>
      <c r="CI277" s="25">
        <f t="shared" si="406"/>
        <v>4.5389999999999997</v>
      </c>
      <c r="CJ277" s="54">
        <v>0.32500000000000001</v>
      </c>
      <c r="CK277" s="21">
        <f t="shared" si="386"/>
        <v>1.4949999999999999</v>
      </c>
      <c r="CL277" s="55"/>
      <c r="CM277" s="55"/>
      <c r="CN277" s="60"/>
      <c r="CO277" s="55" t="s">
        <v>366</v>
      </c>
      <c r="CP277" s="55"/>
      <c r="CQ277" s="55"/>
      <c r="CR277" s="55"/>
      <c r="CS277" s="55"/>
      <c r="CT277" s="55">
        <v>0.1</v>
      </c>
      <c r="CU277" s="55">
        <v>1.2649999999999999</v>
      </c>
      <c r="CV277" s="55">
        <v>1.8</v>
      </c>
      <c r="CW277" s="55">
        <v>2.0150000000000001</v>
      </c>
      <c r="CX277" s="55">
        <v>2</v>
      </c>
      <c r="CY277" s="21">
        <f t="shared" si="381"/>
        <v>13.252416666666667</v>
      </c>
      <c r="CZ277" s="56"/>
      <c r="DA277" s="56"/>
      <c r="DB277" s="56"/>
      <c r="DC277" s="56"/>
      <c r="DD277" s="61">
        <f t="shared" si="398"/>
        <v>0</v>
      </c>
      <c r="DE277" s="21">
        <f t="shared" si="399"/>
        <v>0</v>
      </c>
      <c r="DF277" s="55"/>
      <c r="DG277" s="55"/>
      <c r="DH277" s="55"/>
      <c r="DI277" s="55"/>
      <c r="DJ277" s="104"/>
      <c r="DK277" s="53"/>
      <c r="DM277" s="58">
        <f t="shared" si="369"/>
        <v>767.98520352660705</v>
      </c>
      <c r="DN277" s="58">
        <f t="shared" si="382"/>
        <v>688.2</v>
      </c>
      <c r="DO277" s="21">
        <f t="shared" si="383"/>
        <v>0.89611101469112764</v>
      </c>
      <c r="DP277" s="62">
        <f t="shared" si="422"/>
        <v>1.0121390949966027</v>
      </c>
      <c r="DQ277" s="7" t="s">
        <v>130</v>
      </c>
      <c r="DR277" s="107">
        <f t="shared" si="404"/>
        <v>0</v>
      </c>
    </row>
    <row r="278" spans="1:122" ht="12.75" customHeight="1" x14ac:dyDescent="0.2">
      <c r="A278" s="53" t="s">
        <v>460</v>
      </c>
      <c r="B278" s="54">
        <v>2</v>
      </c>
      <c r="C278" s="92">
        <f t="shared" si="388"/>
        <v>112.92656125467502</v>
      </c>
      <c r="D278" s="92">
        <f t="shared" si="389"/>
        <v>108.01059813897731</v>
      </c>
      <c r="E278" s="92">
        <f>VLOOKUP(A278,[3]TRTOTAL!$A$7:$D$313,3,FALSE)</f>
        <v>112.92656125467502</v>
      </c>
      <c r="F278" s="92">
        <f>VLOOKUP(A278,[3]TRTOTAL!$A$7:$D$313,4,FALSE)</f>
        <v>108.01059813897731</v>
      </c>
      <c r="G278" s="92">
        <f t="shared" si="400"/>
        <v>0</v>
      </c>
      <c r="H278" s="92">
        <f t="shared" si="401"/>
        <v>0</v>
      </c>
      <c r="I278" s="54">
        <v>5.49</v>
      </c>
      <c r="J278" s="56">
        <v>5.25</v>
      </c>
      <c r="K278" s="54">
        <v>2.5</v>
      </c>
      <c r="L278" s="57">
        <v>2</v>
      </c>
      <c r="M278" s="57">
        <v>175</v>
      </c>
      <c r="N278" s="57"/>
      <c r="O278" s="87" t="s">
        <v>133</v>
      </c>
      <c r="P278" s="24">
        <f t="shared" si="387"/>
        <v>15.182113999999999</v>
      </c>
      <c r="Q278" s="24">
        <f t="shared" si="371"/>
        <v>8.73</v>
      </c>
      <c r="R278" s="24">
        <f t="shared" si="372"/>
        <v>5.7791725000000005</v>
      </c>
      <c r="S278" s="87">
        <v>9.1999999999999993</v>
      </c>
      <c r="T278" s="21">
        <f t="shared" si="373"/>
        <v>5.5300199999999995</v>
      </c>
      <c r="U278" s="21"/>
      <c r="V278" s="24">
        <f t="shared" si="374"/>
        <v>2.105</v>
      </c>
      <c r="W278" s="24">
        <f t="shared" si="375"/>
        <v>2.2650000000000001</v>
      </c>
      <c r="X278" s="24">
        <f t="shared" si="376"/>
        <v>2.9593466173510903</v>
      </c>
      <c r="Y278" s="25">
        <f t="shared" si="403"/>
        <v>1</v>
      </c>
      <c r="Z278" s="24">
        <f t="shared" si="390"/>
        <v>14.085290273848512</v>
      </c>
      <c r="AA278" s="21">
        <f t="shared" si="377"/>
        <v>1.556331932882866</v>
      </c>
      <c r="AB278" s="24">
        <f t="shared" si="391"/>
        <v>4.7514790931988911</v>
      </c>
      <c r="AC278" s="24">
        <f t="shared" si="407"/>
        <v>21.369077084931547</v>
      </c>
      <c r="AD278" s="58">
        <f t="shared" si="378"/>
        <v>325</v>
      </c>
      <c r="AE278" s="58">
        <f t="shared" si="379"/>
        <v>331</v>
      </c>
      <c r="AF278" s="21">
        <f t="shared" si="392"/>
        <v>3.15</v>
      </c>
      <c r="AG278" s="77">
        <f t="shared" si="393"/>
        <v>0</v>
      </c>
      <c r="AH278" s="114">
        <f t="shared" si="402"/>
        <v>1.04</v>
      </c>
      <c r="AI278" s="59">
        <f t="shared" si="394"/>
        <v>111.33897839810527</v>
      </c>
      <c r="AJ278" s="59">
        <f t="shared" si="395"/>
        <v>106.49212655861486</v>
      </c>
      <c r="AK278" s="55">
        <v>8.73</v>
      </c>
      <c r="AL278" s="55">
        <v>2.105</v>
      </c>
      <c r="AM278" s="21">
        <f t="shared" si="380"/>
        <v>9.1883250000000007</v>
      </c>
      <c r="AN278" s="54">
        <v>8.73</v>
      </c>
      <c r="AO278" s="55">
        <v>6.4000000000000001E-2</v>
      </c>
      <c r="AP278" s="21">
        <f t="shared" si="408"/>
        <v>0.37247999999999998</v>
      </c>
      <c r="AQ278" s="55">
        <v>2.105</v>
      </c>
      <c r="AR278" s="55">
        <v>2.7E-2</v>
      </c>
      <c r="AS278" s="21">
        <f t="shared" si="409"/>
        <v>3.789E-2</v>
      </c>
      <c r="AT278" s="54">
        <v>8.33</v>
      </c>
      <c r="AU278" s="54">
        <v>0.624</v>
      </c>
      <c r="AV278" s="21">
        <f t="shared" si="410"/>
        <v>2.5989599999999999</v>
      </c>
      <c r="AW278" s="54">
        <v>1.466</v>
      </c>
      <c r="AX278" s="54">
        <v>0.161</v>
      </c>
      <c r="AY278" s="21">
        <f t="shared" si="411"/>
        <v>0.11801300000000001</v>
      </c>
      <c r="AZ278" s="54">
        <v>7.03</v>
      </c>
      <c r="BA278" s="54">
        <v>0.28799999999999998</v>
      </c>
      <c r="BB278" s="21">
        <f t="shared" si="412"/>
        <v>1.3497599999999998</v>
      </c>
      <c r="BC278" s="54"/>
      <c r="BD278" s="54"/>
      <c r="BE278" s="21">
        <f t="shared" si="413"/>
        <v>0</v>
      </c>
      <c r="BF278" s="55">
        <v>0.70099999999999996</v>
      </c>
      <c r="BG278" s="55">
        <v>0.108</v>
      </c>
      <c r="BH278" s="21">
        <f t="shared" si="414"/>
        <v>3.7853999999999999E-2</v>
      </c>
      <c r="BI278" s="55">
        <v>0.36599999999999999</v>
      </c>
      <c r="BJ278" s="55">
        <v>2.8000000000000001E-2</v>
      </c>
      <c r="BK278" s="21">
        <f t="shared" si="415"/>
        <v>6.8320000000000004E-3</v>
      </c>
      <c r="BL278" s="55"/>
      <c r="BM278" s="55"/>
      <c r="BN278" s="21">
        <f t="shared" si="416"/>
        <v>0</v>
      </c>
      <c r="BO278" s="55"/>
      <c r="BP278" s="55"/>
      <c r="BQ278" s="21">
        <f t="shared" si="417"/>
        <v>0</v>
      </c>
      <c r="BR278" s="55"/>
      <c r="BS278" s="21">
        <f t="shared" si="385"/>
        <v>13.710113999999999</v>
      </c>
      <c r="BT278" s="56">
        <v>5.883</v>
      </c>
      <c r="BU278" s="56">
        <v>1.927</v>
      </c>
      <c r="BV278" s="21">
        <f t="shared" si="418"/>
        <v>5.6682705000000002</v>
      </c>
      <c r="BW278" s="77">
        <f t="shared" si="419"/>
        <v>5.883</v>
      </c>
      <c r="BX278" s="55">
        <v>-5.3999999999999999E-2</v>
      </c>
      <c r="BY278" s="21">
        <f t="shared" si="420"/>
        <v>-0.211788</v>
      </c>
      <c r="BZ278" s="55">
        <v>5.82</v>
      </c>
      <c r="CA278" s="55">
        <v>7.0000000000000007E-2</v>
      </c>
      <c r="CB278" s="21">
        <f t="shared" si="421"/>
        <v>0.27160000000000001</v>
      </c>
      <c r="CC278" s="55">
        <v>1.9650000000000001</v>
      </c>
      <c r="CD278" s="55">
        <v>3.9E-2</v>
      </c>
      <c r="CE278" s="21">
        <f t="shared" si="405"/>
        <v>5.1090000000000003E-2</v>
      </c>
      <c r="CF278" s="21"/>
      <c r="CG278" s="21"/>
      <c r="CH278" s="21">
        <f t="shared" si="396"/>
        <v>0</v>
      </c>
      <c r="CI278" s="25">
        <f t="shared" si="406"/>
        <v>5.7791725000000005</v>
      </c>
      <c r="CJ278" s="54">
        <v>0.32</v>
      </c>
      <c r="CK278" s="21">
        <f t="shared" si="386"/>
        <v>1.472</v>
      </c>
      <c r="CL278" s="55">
        <v>207</v>
      </c>
      <c r="CM278" s="55"/>
      <c r="CN278" s="60"/>
      <c r="CO278" s="55"/>
      <c r="CP278" s="55"/>
      <c r="CQ278" s="55"/>
      <c r="CR278" s="55"/>
      <c r="CS278" s="55"/>
      <c r="CT278" s="55"/>
      <c r="CU278" s="55"/>
      <c r="CV278" s="55"/>
      <c r="CW278" s="55"/>
      <c r="CX278" s="55"/>
      <c r="CY278" s="21">
        <f t="shared" si="381"/>
        <v>0</v>
      </c>
      <c r="CZ278" s="56"/>
      <c r="DA278" s="56"/>
      <c r="DB278" s="56"/>
      <c r="DC278" s="56"/>
      <c r="DD278" s="61">
        <f t="shared" si="398"/>
        <v>0</v>
      </c>
      <c r="DE278" s="21">
        <f t="shared" si="399"/>
        <v>0</v>
      </c>
      <c r="DF278" s="55"/>
      <c r="DG278" s="55"/>
      <c r="DH278" s="55"/>
      <c r="DI278" s="55"/>
      <c r="DJ278" s="104"/>
      <c r="DK278" s="53"/>
      <c r="DM278" s="58">
        <f t="shared" si="369"/>
        <v>845.91321665351529</v>
      </c>
      <c r="DN278" s="58">
        <f t="shared" si="382"/>
        <v>743.75</v>
      </c>
      <c r="DO278" s="21">
        <f t="shared" si="383"/>
        <v>0.8792273076691256</v>
      </c>
      <c r="DP278" s="62">
        <f t="shared" si="422"/>
        <v>1.0142590032656233</v>
      </c>
      <c r="DQ278" s="7" t="s">
        <v>130</v>
      </c>
      <c r="DR278" s="107">
        <f t="shared" si="404"/>
        <v>0</v>
      </c>
    </row>
    <row r="279" spans="1:122" ht="12.75" customHeight="1" x14ac:dyDescent="0.2">
      <c r="A279" s="53" t="s">
        <v>461</v>
      </c>
      <c r="B279" s="54">
        <v>2</v>
      </c>
      <c r="C279" s="92">
        <f t="shared" si="388"/>
        <v>98.569541187564184</v>
      </c>
      <c r="D279" s="92">
        <f t="shared" si="389"/>
        <v>93.631024715252281</v>
      </c>
      <c r="E279" s="92">
        <f>VLOOKUP(A279,[3]TRTOTAL!$A$7:$D$313,3,FALSE)</f>
        <v>98.569541187564184</v>
      </c>
      <c r="F279" s="92">
        <f>VLOOKUP(A279,[3]TRTOTAL!$A$7:$D$313,4,FALSE)</f>
        <v>93.631024715252281</v>
      </c>
      <c r="G279" s="92">
        <f t="shared" si="400"/>
        <v>0</v>
      </c>
      <c r="H279" s="92">
        <f t="shared" si="401"/>
        <v>0</v>
      </c>
      <c r="I279" s="54">
        <v>6.09</v>
      </c>
      <c r="J279" s="56">
        <v>5.9379999999999997</v>
      </c>
      <c r="K279" s="54">
        <v>3.05</v>
      </c>
      <c r="L279" s="57">
        <v>2</v>
      </c>
      <c r="M279" s="57"/>
      <c r="N279" s="57">
        <v>165</v>
      </c>
      <c r="O279" s="87"/>
      <c r="P279" s="24">
        <f t="shared" si="387"/>
        <v>17.53021</v>
      </c>
      <c r="Q279" s="24">
        <f t="shared" si="371"/>
        <v>8.91</v>
      </c>
      <c r="R279" s="24">
        <v>5.35</v>
      </c>
      <c r="S279" s="87">
        <v>9.2739999999999991</v>
      </c>
      <c r="T279" s="21">
        <f t="shared" si="373"/>
        <v>6.3</v>
      </c>
      <c r="U279" s="21">
        <v>2.29</v>
      </c>
      <c r="V279" s="24">
        <f t="shared" si="374"/>
        <v>2.29</v>
      </c>
      <c r="W279" s="24">
        <f t="shared" si="375"/>
        <v>2.4550000000000001</v>
      </c>
      <c r="X279" s="24">
        <f t="shared" si="376"/>
        <v>2.9086008436998352</v>
      </c>
      <c r="Y279" s="25">
        <f t="shared" si="403"/>
        <v>1</v>
      </c>
      <c r="Z279" s="24">
        <f t="shared" si="390"/>
        <v>16.179576847523613</v>
      </c>
      <c r="AA279" s="21">
        <f t="shared" si="377"/>
        <v>0</v>
      </c>
      <c r="AB279" s="24">
        <f t="shared" si="391"/>
        <v>4.8149999999999995</v>
      </c>
      <c r="AC279" s="24">
        <f t="shared" si="407"/>
        <v>24.24937684752361</v>
      </c>
      <c r="AD279" s="58">
        <f t="shared" si="378"/>
        <v>309</v>
      </c>
      <c r="AE279" s="58">
        <f t="shared" si="379"/>
        <v>315</v>
      </c>
      <c r="AF279" s="21">
        <f t="shared" si="392"/>
        <v>3.8807500000000004</v>
      </c>
      <c r="AG279" s="77">
        <f t="shared" si="393"/>
        <v>0</v>
      </c>
      <c r="AH279" s="114">
        <f t="shared" si="402"/>
        <v>1</v>
      </c>
      <c r="AI279" s="59">
        <f t="shared" si="394"/>
        <v>97.186011071901319</v>
      </c>
      <c r="AJ279" s="59">
        <f t="shared" si="395"/>
        <v>92.316812019390923</v>
      </c>
      <c r="AK279" s="55"/>
      <c r="AL279" s="55"/>
      <c r="AM279" s="21">
        <f t="shared" si="380"/>
        <v>0</v>
      </c>
      <c r="AN279" s="54">
        <v>8.91</v>
      </c>
      <c r="AO279" s="55"/>
      <c r="AP279" s="21">
        <f t="shared" si="408"/>
        <v>0</v>
      </c>
      <c r="AQ279" s="55"/>
      <c r="AR279" s="55">
        <v>0</v>
      </c>
      <c r="AS279" s="21">
        <f t="shared" si="409"/>
        <v>0</v>
      </c>
      <c r="AT279" s="54"/>
      <c r="AU279" s="54"/>
      <c r="AV279" s="21">
        <f t="shared" si="410"/>
        <v>0</v>
      </c>
      <c r="AW279" s="54"/>
      <c r="AX279" s="54"/>
      <c r="AY279" s="21">
        <f t="shared" si="411"/>
        <v>0</v>
      </c>
      <c r="AZ279" s="54"/>
      <c r="BA279" s="54"/>
      <c r="BB279" s="21">
        <f t="shared" si="412"/>
        <v>0</v>
      </c>
      <c r="BC279" s="54"/>
      <c r="BD279" s="54"/>
      <c r="BE279" s="21">
        <f t="shared" si="413"/>
        <v>0</v>
      </c>
      <c r="BF279" s="55"/>
      <c r="BG279" s="55"/>
      <c r="BH279" s="21">
        <f t="shared" si="414"/>
        <v>0</v>
      </c>
      <c r="BI279" s="55"/>
      <c r="BJ279" s="55"/>
      <c r="BK279" s="21">
        <f t="shared" si="415"/>
        <v>0</v>
      </c>
      <c r="BL279" s="55"/>
      <c r="BM279" s="55"/>
      <c r="BN279" s="21">
        <f t="shared" si="416"/>
        <v>0</v>
      </c>
      <c r="BO279" s="55"/>
      <c r="BP279" s="55"/>
      <c r="BQ279" s="21">
        <f t="shared" si="417"/>
        <v>0</v>
      </c>
      <c r="BR279" s="55"/>
      <c r="BS279" s="21">
        <f t="shared" si="385"/>
        <v>0</v>
      </c>
      <c r="BT279" s="56">
        <v>0</v>
      </c>
      <c r="BU279" s="56"/>
      <c r="BV279" s="21">
        <f t="shared" si="418"/>
        <v>0</v>
      </c>
      <c r="BW279" s="77">
        <f t="shared" si="419"/>
        <v>0</v>
      </c>
      <c r="BX279" s="55"/>
      <c r="BY279" s="21">
        <f t="shared" si="420"/>
        <v>0</v>
      </c>
      <c r="BZ279" s="55"/>
      <c r="CA279" s="55"/>
      <c r="CB279" s="21">
        <f t="shared" si="421"/>
        <v>0</v>
      </c>
      <c r="CC279" s="54"/>
      <c r="CD279" s="54"/>
      <c r="CE279" s="21">
        <f t="shared" si="405"/>
        <v>0</v>
      </c>
      <c r="CF279" s="21"/>
      <c r="CG279" s="21"/>
      <c r="CH279" s="21">
        <f t="shared" si="396"/>
        <v>0</v>
      </c>
      <c r="CI279" s="25">
        <f t="shared" si="406"/>
        <v>5.35</v>
      </c>
      <c r="CJ279" s="54">
        <v>0.33</v>
      </c>
      <c r="CK279" s="21">
        <f t="shared" si="386"/>
        <v>1.5302099999999998</v>
      </c>
      <c r="CL279" s="55"/>
      <c r="CM279" s="55"/>
      <c r="CN279" s="60"/>
      <c r="CO279" s="55"/>
      <c r="CP279" s="55"/>
      <c r="CQ279" s="55"/>
      <c r="CR279" s="55"/>
      <c r="CS279" s="55"/>
      <c r="CT279" s="55"/>
      <c r="CU279" s="55"/>
      <c r="CV279" s="55"/>
      <c r="CW279" s="55"/>
      <c r="CX279" s="55"/>
      <c r="CY279" s="21"/>
      <c r="CZ279" s="56">
        <v>4.25</v>
      </c>
      <c r="DA279" s="56">
        <v>9.15</v>
      </c>
      <c r="DB279" s="56">
        <v>8.0500000000000007</v>
      </c>
      <c r="DC279" s="56">
        <v>3.45</v>
      </c>
      <c r="DD279" s="61">
        <f t="shared" si="398"/>
        <v>0.81176470588235294</v>
      </c>
      <c r="DE279" s="21">
        <f t="shared" si="399"/>
        <v>25.87166666666667</v>
      </c>
      <c r="DF279" s="55">
        <v>16</v>
      </c>
      <c r="DG279" s="55">
        <v>5.35</v>
      </c>
      <c r="DH279" s="55">
        <v>6.3</v>
      </c>
      <c r="DI279" s="55"/>
      <c r="DJ279" s="104"/>
      <c r="DK279" s="53" t="s">
        <v>129</v>
      </c>
      <c r="DM279" s="58">
        <f t="shared" si="369"/>
        <v>966.52933929705205</v>
      </c>
      <c r="DN279" s="58">
        <f t="shared" si="382"/>
        <v>849.97500000000002</v>
      </c>
      <c r="DO279" s="21">
        <f t="shared" si="383"/>
        <v>0.87940941411895379</v>
      </c>
      <c r="DP279" s="62">
        <f t="shared" si="422"/>
        <v>1.0142358977429302</v>
      </c>
      <c r="DQ279" s="7" t="s">
        <v>130</v>
      </c>
      <c r="DR279" s="107">
        <f t="shared" si="404"/>
        <v>0</v>
      </c>
    </row>
    <row r="280" spans="1:122" ht="12.75" customHeight="1" x14ac:dyDescent="0.2">
      <c r="A280" s="53" t="s">
        <v>462</v>
      </c>
      <c r="B280" s="54">
        <v>1</v>
      </c>
      <c r="C280" s="92">
        <f t="shared" si="388"/>
        <v>123.96167360900756</v>
      </c>
      <c r="D280" s="92">
        <f t="shared" si="389"/>
        <v>117.51060389642728</v>
      </c>
      <c r="E280" s="92">
        <f>VLOOKUP(A280,[3]TRTOTAL!$A$7:$D$313,3,FALSE)</f>
        <v>123.96167360900756</v>
      </c>
      <c r="F280" s="92">
        <f>VLOOKUP(A280,[3]TRTOTAL!$A$7:$D$313,4,FALSE)</f>
        <v>117.51060389642728</v>
      </c>
      <c r="G280" s="92">
        <f t="shared" si="400"/>
        <v>0</v>
      </c>
      <c r="H280" s="92">
        <f t="shared" si="401"/>
        <v>0</v>
      </c>
      <c r="I280" s="70">
        <v>4.1900000000000004</v>
      </c>
      <c r="J280" s="56">
        <v>4.1399999999999997</v>
      </c>
      <c r="K280" s="54">
        <v>1.9</v>
      </c>
      <c r="L280" s="57">
        <v>1</v>
      </c>
      <c r="M280" s="57">
        <v>85</v>
      </c>
      <c r="N280" s="57"/>
      <c r="O280" s="87"/>
      <c r="P280" s="24">
        <f t="shared" si="387"/>
        <v>9.125350000000001</v>
      </c>
      <c r="Q280" s="24">
        <f t="shared" si="371"/>
        <v>5.78</v>
      </c>
      <c r="R280" s="24">
        <f t="shared" ref="R280:R295" si="423">CI280</f>
        <v>1.9598166666666663</v>
      </c>
      <c r="S280" s="87">
        <v>6.3</v>
      </c>
      <c r="T280" s="21">
        <f t="shared" si="373"/>
        <v>3.4121999999999999</v>
      </c>
      <c r="U280" s="21"/>
      <c r="V280" s="24">
        <f t="shared" si="374"/>
        <v>2.02</v>
      </c>
      <c r="W280" s="24">
        <f t="shared" si="375"/>
        <v>2.14</v>
      </c>
      <c r="X280" s="24">
        <f t="shared" si="376"/>
        <v>1.992608524761988</v>
      </c>
      <c r="Y280" s="25">
        <f t="shared" si="403"/>
        <v>1</v>
      </c>
      <c r="Z280" s="24">
        <f t="shared" si="390"/>
        <v>7.5188414782429058</v>
      </c>
      <c r="AA280" s="21">
        <f t="shared" si="377"/>
        <v>1.5348239225206881</v>
      </c>
      <c r="AB280" s="24">
        <f t="shared" si="391"/>
        <v>1.6045952823936032</v>
      </c>
      <c r="AC280" s="24">
        <f t="shared" si="407"/>
        <v>11.014839373925341</v>
      </c>
      <c r="AD280" s="58">
        <f t="shared" si="378"/>
        <v>160</v>
      </c>
      <c r="AE280" s="58">
        <f t="shared" si="379"/>
        <v>166</v>
      </c>
      <c r="AF280" s="21">
        <f t="shared" si="392"/>
        <v>2.1</v>
      </c>
      <c r="AG280" s="77">
        <f t="shared" si="393"/>
        <v>0</v>
      </c>
      <c r="AH280" s="114">
        <f t="shared" si="402"/>
        <v>1</v>
      </c>
      <c r="AI280" s="59">
        <f t="shared" si="394"/>
        <v>122.03310603410667</v>
      </c>
      <c r="AJ280" s="59">
        <f t="shared" si="395"/>
        <v>114.53703029655813</v>
      </c>
      <c r="AK280" s="55">
        <v>5.78</v>
      </c>
      <c r="AL280" s="55">
        <v>2.02</v>
      </c>
      <c r="AM280" s="21">
        <f t="shared" si="380"/>
        <v>5.8378000000000005</v>
      </c>
      <c r="AN280" s="54">
        <v>5.78</v>
      </c>
      <c r="AO280" s="55">
        <v>7.0000000000000007E-2</v>
      </c>
      <c r="AP280" s="21">
        <f t="shared" si="408"/>
        <v>0.26973333333333338</v>
      </c>
      <c r="AQ280" s="55"/>
      <c r="AR280" s="55"/>
      <c r="AS280" s="21">
        <f t="shared" si="409"/>
        <v>0</v>
      </c>
      <c r="AT280" s="54">
        <v>5.81</v>
      </c>
      <c r="AU280" s="54">
        <v>0.67</v>
      </c>
      <c r="AV280" s="21">
        <f t="shared" si="410"/>
        <v>1.94635</v>
      </c>
      <c r="AW280" s="54"/>
      <c r="AX280" s="54"/>
      <c r="AY280" s="21">
        <f t="shared" si="411"/>
        <v>0</v>
      </c>
      <c r="AZ280" s="54">
        <v>3.71</v>
      </c>
      <c r="BA280" s="54">
        <v>0.08</v>
      </c>
      <c r="BB280" s="21">
        <f t="shared" si="412"/>
        <v>0.19786666666666666</v>
      </c>
      <c r="BC280" s="54">
        <v>2.52</v>
      </c>
      <c r="BD280" s="54">
        <v>7.0000000000000007E-2</v>
      </c>
      <c r="BE280" s="21">
        <f t="shared" si="413"/>
        <v>0.11760000000000002</v>
      </c>
      <c r="BF280" s="55"/>
      <c r="BG280" s="55"/>
      <c r="BH280" s="21">
        <f t="shared" si="414"/>
        <v>0</v>
      </c>
      <c r="BI280" s="55"/>
      <c r="BJ280" s="55"/>
      <c r="BK280" s="21">
        <f t="shared" si="415"/>
        <v>0</v>
      </c>
      <c r="BL280" s="55"/>
      <c r="BM280" s="55"/>
      <c r="BN280" s="21">
        <f t="shared" si="416"/>
        <v>0</v>
      </c>
      <c r="BO280" s="55"/>
      <c r="BP280" s="55"/>
      <c r="BQ280" s="21">
        <f t="shared" si="417"/>
        <v>0</v>
      </c>
      <c r="BR280" s="55"/>
      <c r="BS280" s="21">
        <f t="shared" si="385"/>
        <v>8.3693500000000007</v>
      </c>
      <c r="BT280" s="56">
        <v>3.63</v>
      </c>
      <c r="BU280" s="56">
        <v>1.1299999999999999</v>
      </c>
      <c r="BV280" s="21">
        <f t="shared" si="418"/>
        <v>2.0509499999999998</v>
      </c>
      <c r="BW280" s="77">
        <f t="shared" si="419"/>
        <v>3.63</v>
      </c>
      <c r="BX280" s="55"/>
      <c r="BY280" s="21">
        <f t="shared" si="420"/>
        <v>0</v>
      </c>
      <c r="BZ280" s="55">
        <v>3.43</v>
      </c>
      <c r="CA280" s="55">
        <v>-0.05</v>
      </c>
      <c r="CB280" s="21">
        <f t="shared" si="421"/>
        <v>-0.11433333333333334</v>
      </c>
      <c r="CC280" s="54">
        <v>1.1599999999999999</v>
      </c>
      <c r="CD280" s="54">
        <v>0.03</v>
      </c>
      <c r="CE280" s="21">
        <f t="shared" si="405"/>
        <v>2.3199999999999998E-2</v>
      </c>
      <c r="CF280" s="21"/>
      <c r="CG280" s="21"/>
      <c r="CH280" s="21">
        <f t="shared" si="396"/>
        <v>0</v>
      </c>
      <c r="CI280" s="25">
        <f t="shared" si="406"/>
        <v>1.9598166666666663</v>
      </c>
      <c r="CJ280" s="54">
        <v>0.24</v>
      </c>
      <c r="CK280" s="21">
        <f t="shared" si="386"/>
        <v>0.75600000000000001</v>
      </c>
      <c r="CL280" s="55">
        <v>8</v>
      </c>
      <c r="CM280" s="55" t="s">
        <v>463</v>
      </c>
      <c r="CN280" s="60">
        <v>39254</v>
      </c>
      <c r="CO280" s="55" t="s">
        <v>142</v>
      </c>
      <c r="CP280" s="55"/>
      <c r="CQ280" s="55"/>
      <c r="CR280" s="55"/>
      <c r="CS280" s="55"/>
      <c r="CT280" s="55"/>
      <c r="CU280" s="55"/>
      <c r="CV280" s="55"/>
      <c r="CW280" s="55"/>
      <c r="CX280" s="55"/>
      <c r="CY280" s="21">
        <f>(CT280+4*CU280+2*CV280+4*CW280+CX280)*AN280/12</f>
        <v>0</v>
      </c>
      <c r="CZ280" s="56"/>
      <c r="DA280" s="56"/>
      <c r="DB280" s="56"/>
      <c r="DC280" s="56"/>
      <c r="DD280" s="61">
        <f t="shared" si="398"/>
        <v>0</v>
      </c>
      <c r="DE280" s="21">
        <f t="shared" si="399"/>
        <v>0</v>
      </c>
      <c r="DF280" s="55"/>
      <c r="DG280" s="55"/>
      <c r="DH280" s="55"/>
      <c r="DI280" s="55"/>
      <c r="DJ280" s="104"/>
      <c r="DK280" s="53"/>
      <c r="DM280" s="58">
        <f t="shared" si="369"/>
        <v>343.94374361981943</v>
      </c>
      <c r="DN280" s="58">
        <f t="shared" si="382"/>
        <v>298.25</v>
      </c>
      <c r="DO280" s="21">
        <f t="shared" si="383"/>
        <v>0.86714762379766586</v>
      </c>
      <c r="DP280" s="62">
        <f t="shared" si="422"/>
        <v>1.0158036424506141</v>
      </c>
      <c r="DQ280" s="7">
        <v>0</v>
      </c>
      <c r="DR280" s="107">
        <f t="shared" si="404"/>
        <v>0</v>
      </c>
    </row>
    <row r="281" spans="1:122" ht="12.75" customHeight="1" x14ac:dyDescent="0.2">
      <c r="A281" s="53" t="s">
        <v>464</v>
      </c>
      <c r="B281" s="54">
        <v>2</v>
      </c>
      <c r="C281" s="92">
        <f t="shared" si="388"/>
        <v>109.47695674793167</v>
      </c>
      <c r="D281" s="92">
        <f t="shared" si="389"/>
        <v>103.90813809895116</v>
      </c>
      <c r="E281" s="92">
        <f>VLOOKUP(A281,[3]TRTOTAL!$A$7:$D$313,3,FALSE)</f>
        <v>109.47695674793167</v>
      </c>
      <c r="F281" s="92">
        <f>VLOOKUP(A281,[3]TRTOTAL!$A$7:$D$313,4,FALSE)</f>
        <v>103.90813809895116</v>
      </c>
      <c r="G281" s="92">
        <f t="shared" si="400"/>
        <v>0</v>
      </c>
      <c r="H281" s="92">
        <f t="shared" si="401"/>
        <v>0</v>
      </c>
      <c r="I281" s="54">
        <v>5.4</v>
      </c>
      <c r="J281" s="56">
        <v>5.35</v>
      </c>
      <c r="K281" s="54">
        <v>2.4</v>
      </c>
      <c r="L281" s="57">
        <v>2</v>
      </c>
      <c r="M281" s="57">
        <v>160</v>
      </c>
      <c r="N281" s="57"/>
      <c r="O281" s="87"/>
      <c r="P281" s="24">
        <f t="shared" si="387"/>
        <v>14.7</v>
      </c>
      <c r="Q281" s="24">
        <f t="shared" si="371"/>
        <v>7.39</v>
      </c>
      <c r="R281" s="24">
        <f t="shared" si="423"/>
        <v>4.2</v>
      </c>
      <c r="S281" s="87">
        <v>7.8</v>
      </c>
      <c r="T281" s="21">
        <f t="shared" si="373"/>
        <v>5.4</v>
      </c>
      <c r="U281" s="21"/>
      <c r="V281" s="24">
        <f t="shared" si="374"/>
        <v>2.2169999999999996</v>
      </c>
      <c r="W281" s="24">
        <f t="shared" si="375"/>
        <v>2.3769999999999998</v>
      </c>
      <c r="X281" s="24">
        <f t="shared" si="376"/>
        <v>2.6017105096184534</v>
      </c>
      <c r="Y281" s="25">
        <f t="shared" si="403"/>
        <v>1</v>
      </c>
      <c r="Z281" s="24">
        <f t="shared" si="390"/>
        <v>13.121087414657342</v>
      </c>
      <c r="AA281" s="21">
        <f t="shared" si="377"/>
        <v>0</v>
      </c>
      <c r="AB281" s="24">
        <f t="shared" si="391"/>
        <v>3.7800000000000002</v>
      </c>
      <c r="AC281" s="24">
        <f t="shared" si="407"/>
        <v>19.559687414657343</v>
      </c>
      <c r="AD281" s="58">
        <f t="shared" si="378"/>
        <v>310</v>
      </c>
      <c r="AE281" s="58">
        <f t="shared" si="379"/>
        <v>316</v>
      </c>
      <c r="AF281" s="21">
        <f t="shared" si="392"/>
        <v>3.15</v>
      </c>
      <c r="AG281" s="77">
        <f t="shared" si="393"/>
        <v>0</v>
      </c>
      <c r="AH281" s="114">
        <f t="shared" si="402"/>
        <v>1</v>
      </c>
      <c r="AI281" s="59">
        <f t="shared" si="394"/>
        <v>109.47695674793167</v>
      </c>
      <c r="AJ281" s="59">
        <f t="shared" si="395"/>
        <v>103.90813809895116</v>
      </c>
      <c r="AK281" s="55"/>
      <c r="AL281" s="55"/>
      <c r="AM281" s="21"/>
      <c r="AN281" s="54">
        <v>7.39</v>
      </c>
      <c r="AO281" s="55"/>
      <c r="AP281" s="21"/>
      <c r="AQ281" s="55"/>
      <c r="AR281" s="55"/>
      <c r="AS281" s="21"/>
      <c r="AT281" s="54"/>
      <c r="AU281" s="54"/>
      <c r="AV281" s="21"/>
      <c r="AW281" s="54"/>
      <c r="AX281" s="54"/>
      <c r="AY281" s="21"/>
      <c r="AZ281" s="54"/>
      <c r="BA281" s="54"/>
      <c r="BB281" s="21"/>
      <c r="BC281" s="54"/>
      <c r="BD281" s="54"/>
      <c r="BE281" s="21"/>
      <c r="BF281" s="55"/>
      <c r="BG281" s="55"/>
      <c r="BH281" s="21"/>
      <c r="BI281" s="55"/>
      <c r="BJ281" s="55"/>
      <c r="BK281" s="21"/>
      <c r="BL281" s="55"/>
      <c r="BM281" s="55"/>
      <c r="BN281" s="21"/>
      <c r="BO281" s="55"/>
      <c r="BP281" s="55"/>
      <c r="BQ281" s="21"/>
      <c r="BR281" s="55"/>
      <c r="BS281" s="21">
        <f t="shared" si="385"/>
        <v>0</v>
      </c>
      <c r="BT281" s="56">
        <v>0</v>
      </c>
      <c r="BU281" s="56"/>
      <c r="BV281" s="21">
        <f t="shared" si="418"/>
        <v>0</v>
      </c>
      <c r="BW281" s="77">
        <f t="shared" si="419"/>
        <v>0</v>
      </c>
      <c r="BX281" s="55"/>
      <c r="BY281" s="21"/>
      <c r="BZ281" s="55"/>
      <c r="CA281" s="55"/>
      <c r="CB281" s="21"/>
      <c r="CC281" s="54"/>
      <c r="CD281" s="54"/>
      <c r="CE281" s="21"/>
      <c r="CF281" s="21"/>
      <c r="CG281" s="21"/>
      <c r="CH281" s="21">
        <f t="shared" si="396"/>
        <v>0</v>
      </c>
      <c r="CI281" s="25">
        <f t="shared" si="406"/>
        <v>4.2</v>
      </c>
      <c r="CJ281" s="54"/>
      <c r="CK281" s="21">
        <f t="shared" si="386"/>
        <v>0</v>
      </c>
      <c r="CL281" s="55"/>
      <c r="CM281" s="55"/>
      <c r="CN281" s="60">
        <v>33039</v>
      </c>
      <c r="CO281" s="55"/>
      <c r="CP281" s="55"/>
      <c r="CQ281" s="55"/>
      <c r="CR281" s="55"/>
      <c r="CS281" s="55"/>
      <c r="CT281" s="55"/>
      <c r="CU281" s="55"/>
      <c r="CV281" s="55"/>
      <c r="CW281" s="55"/>
      <c r="CX281" s="55"/>
      <c r="CY281" s="21"/>
      <c r="CZ281" s="56"/>
      <c r="DA281" s="56"/>
      <c r="DB281" s="56"/>
      <c r="DC281" s="56"/>
      <c r="DD281" s="61">
        <f t="shared" si="398"/>
        <v>0</v>
      </c>
      <c r="DE281" s="21">
        <f t="shared" si="399"/>
        <v>0</v>
      </c>
      <c r="DF281" s="55">
        <v>14.7</v>
      </c>
      <c r="DG281" s="55">
        <v>4.2</v>
      </c>
      <c r="DH281" s="55">
        <v>5.4</v>
      </c>
      <c r="DI281" s="55"/>
      <c r="DJ281" s="104"/>
      <c r="DK281" s="53"/>
      <c r="DM281" s="58">
        <f t="shared" si="369"/>
        <v>698.76451975679981</v>
      </c>
      <c r="DN281" s="58">
        <f t="shared" si="382"/>
        <v>702</v>
      </c>
      <c r="DO281" s="21">
        <f t="shared" si="383"/>
        <v>1.0046302869589405</v>
      </c>
      <c r="DP281" s="62">
        <f t="shared" si="422"/>
        <v>1</v>
      </c>
      <c r="DQ281" s="7">
        <v>0</v>
      </c>
      <c r="DR281" s="107">
        <f t="shared" si="404"/>
        <v>0</v>
      </c>
    </row>
    <row r="282" spans="1:122" ht="12.75" customHeight="1" x14ac:dyDescent="0.2">
      <c r="A282" s="53" t="s">
        <v>465</v>
      </c>
      <c r="B282" s="57">
        <v>2</v>
      </c>
      <c r="C282" s="92">
        <f t="shared" si="388"/>
        <v>101.46771978000513</v>
      </c>
      <c r="D282" s="92">
        <f t="shared" si="389"/>
        <v>96.083246097666049</v>
      </c>
      <c r="E282" s="92">
        <f>VLOOKUP(A282,[3]TRTOTAL!$A$7:$D$313,3,FALSE)</f>
        <v>101.46771978000513</v>
      </c>
      <c r="F282" s="92">
        <f>VLOOKUP(A282,[3]TRTOTAL!$A$7:$D$313,4,FALSE)</f>
        <v>96.083246097666049</v>
      </c>
      <c r="G282" s="92">
        <f t="shared" si="400"/>
        <v>0</v>
      </c>
      <c r="H282" s="92">
        <f t="shared" si="401"/>
        <v>0</v>
      </c>
      <c r="I282" s="54">
        <v>6.09</v>
      </c>
      <c r="J282" s="56">
        <v>5.9379999999999997</v>
      </c>
      <c r="K282" s="54">
        <v>3.05</v>
      </c>
      <c r="L282" s="57">
        <v>1</v>
      </c>
      <c r="M282" s="57">
        <v>165</v>
      </c>
      <c r="N282" s="57"/>
      <c r="O282" s="87"/>
      <c r="P282" s="21">
        <f t="shared" si="387"/>
        <v>16.81173166666667</v>
      </c>
      <c r="Q282" s="24">
        <f t="shared" si="371"/>
        <v>8.89</v>
      </c>
      <c r="R282" s="21">
        <f t="shared" si="423"/>
        <v>5.2</v>
      </c>
      <c r="S282" s="87">
        <v>9.08</v>
      </c>
      <c r="T282" s="21">
        <f t="shared" si="373"/>
        <v>5.62</v>
      </c>
      <c r="U282" s="21"/>
      <c r="V282" s="24">
        <f t="shared" si="374"/>
        <v>2.2850000000000001</v>
      </c>
      <c r="W282" s="24">
        <f t="shared" si="375"/>
        <v>2.46</v>
      </c>
      <c r="X282" s="24">
        <f t="shared" si="376"/>
        <v>2.7780639279970045</v>
      </c>
      <c r="Y282" s="25">
        <f t="shared" si="403"/>
        <v>1</v>
      </c>
      <c r="Z282" s="24">
        <f t="shared" si="390"/>
        <v>15.304174992298645</v>
      </c>
      <c r="AA282" s="21">
        <f t="shared" si="377"/>
        <v>0</v>
      </c>
      <c r="AB282" s="24">
        <f t="shared" si="391"/>
        <v>4.6800000000000006</v>
      </c>
      <c r="AC282" s="24">
        <f t="shared" si="407"/>
        <v>23.256524992298644</v>
      </c>
      <c r="AD282" s="58">
        <f t="shared" si="378"/>
        <v>315</v>
      </c>
      <c r="AE282" s="58">
        <f t="shared" si="379"/>
        <v>321</v>
      </c>
      <c r="AF282" s="21">
        <f t="shared" si="392"/>
        <v>3.8807500000000004</v>
      </c>
      <c r="AG282" s="77">
        <f t="shared" si="393"/>
        <v>0</v>
      </c>
      <c r="AH282" s="114">
        <f t="shared" si="402"/>
        <v>1</v>
      </c>
      <c r="AI282" s="59">
        <f t="shared" si="394"/>
        <v>99.743945216403247</v>
      </c>
      <c r="AJ282" s="59">
        <f t="shared" si="395"/>
        <v>94.450945145495695</v>
      </c>
      <c r="AK282" s="56">
        <v>8.89</v>
      </c>
      <c r="AL282" s="55">
        <v>2.2850000000000001</v>
      </c>
      <c r="AM282" s="21">
        <f t="shared" ref="AM282:AM295" si="424">AK282*AL282*0.5</f>
        <v>10.156825000000001</v>
      </c>
      <c r="AN282" s="56">
        <v>8.89</v>
      </c>
      <c r="AO282" s="56">
        <v>0.17</v>
      </c>
      <c r="AP282" s="21">
        <f t="shared" ref="AP282:AP292" si="425">AN282*AO282*2/3</f>
        <v>1.0075333333333336</v>
      </c>
      <c r="AQ282" s="56"/>
      <c r="AR282" s="56"/>
      <c r="AS282" s="21">
        <f t="shared" ref="AS282:AS292" si="426">AQ282*AR282*2/3</f>
        <v>0</v>
      </c>
      <c r="AT282" s="56">
        <v>8.56</v>
      </c>
      <c r="AU282" s="56">
        <v>0.71499999999999997</v>
      </c>
      <c r="AV282" s="21">
        <f t="shared" ref="AV282:AV292" si="427">AT282*AU282*0.5</f>
        <v>3.0602</v>
      </c>
      <c r="AW282" s="56">
        <v>3.45</v>
      </c>
      <c r="AX282" s="56">
        <v>0.23</v>
      </c>
      <c r="AY282" s="21">
        <f t="shared" ref="AY282:AY292" si="428">AW282*AX282*0.5</f>
        <v>0.39675000000000005</v>
      </c>
      <c r="AZ282" s="56">
        <v>5.23</v>
      </c>
      <c r="BA282" s="56">
        <v>0.13700000000000001</v>
      </c>
      <c r="BB282" s="21">
        <f t="shared" ref="BB282:BB292" si="429">AZ282*BA282*2/3</f>
        <v>0.47767333333333339</v>
      </c>
      <c r="BC282" s="56"/>
      <c r="BD282" s="56"/>
      <c r="BE282" s="21">
        <f t="shared" ref="BE282:BE292" si="430">BC282*BD282*2/3</f>
        <v>0</v>
      </c>
      <c r="BF282" s="56">
        <v>1.67</v>
      </c>
      <c r="BG282" s="56">
        <v>0.05</v>
      </c>
      <c r="BH282" s="21">
        <f t="shared" ref="BH282:BH292" si="431">BF282*BG282*0.5</f>
        <v>4.1750000000000002E-2</v>
      </c>
      <c r="BI282" s="56"/>
      <c r="BJ282" s="56"/>
      <c r="BK282" s="21">
        <f t="shared" ref="BK282:BK292" si="432">BI282*BJ282*2/3</f>
        <v>0</v>
      </c>
      <c r="BL282" s="56">
        <v>1.64</v>
      </c>
      <c r="BM282" s="56">
        <v>0.1</v>
      </c>
      <c r="BN282" s="21">
        <f t="shared" ref="BN282:BN292" si="433">BL282*BM282*0.5</f>
        <v>8.2000000000000003E-2</v>
      </c>
      <c r="BO282" s="56"/>
      <c r="BP282" s="56"/>
      <c r="BQ282" s="21">
        <f t="shared" ref="BQ282:BQ292" si="434">BO282*BP282*0.5</f>
        <v>0</v>
      </c>
      <c r="BR282" s="56"/>
      <c r="BS282" s="21">
        <f t="shared" si="385"/>
        <v>15.22273166666667</v>
      </c>
      <c r="BT282" s="56">
        <v>0</v>
      </c>
      <c r="BU282" s="56"/>
      <c r="BV282" s="21">
        <f t="shared" si="418"/>
        <v>0</v>
      </c>
      <c r="BW282" s="77">
        <f t="shared" si="419"/>
        <v>0</v>
      </c>
      <c r="BX282" s="55"/>
      <c r="BY282" s="21">
        <f t="shared" ref="BY282:BY292" si="435">BW282*BX282*2/3</f>
        <v>0</v>
      </c>
      <c r="BZ282" s="56"/>
      <c r="CA282" s="56"/>
      <c r="CB282" s="21">
        <f t="shared" ref="CB282:CB292" si="436">BZ282*CA282*2/3</f>
        <v>0</v>
      </c>
      <c r="CC282" s="56"/>
      <c r="CD282" s="56"/>
      <c r="CE282" s="21">
        <f t="shared" ref="CE282:CE292" si="437">CC282*CD282*2/3</f>
        <v>0</v>
      </c>
      <c r="CF282" s="21"/>
      <c r="CG282" s="21"/>
      <c r="CH282" s="21">
        <f t="shared" si="396"/>
        <v>0</v>
      </c>
      <c r="CI282" s="25">
        <f t="shared" si="406"/>
        <v>5.2</v>
      </c>
      <c r="CJ282" s="56">
        <v>0.35</v>
      </c>
      <c r="CK282" s="21">
        <f t="shared" si="386"/>
        <v>1.589</v>
      </c>
      <c r="CL282" s="57"/>
      <c r="CM282" s="57"/>
      <c r="CN282" s="57"/>
      <c r="CO282" s="57"/>
      <c r="CP282" s="57"/>
      <c r="CQ282" s="57"/>
      <c r="CR282" s="57"/>
      <c r="CS282" s="57"/>
      <c r="CT282" s="57"/>
      <c r="CU282" s="57"/>
      <c r="CV282" s="57"/>
      <c r="CW282" s="57"/>
      <c r="CX282" s="57"/>
      <c r="CY282" s="57"/>
      <c r="CZ282" s="56">
        <v>4.25</v>
      </c>
      <c r="DA282" s="56">
        <v>9.15</v>
      </c>
      <c r="DB282" s="56">
        <v>8.0500000000000007</v>
      </c>
      <c r="DC282" s="56">
        <v>3.45</v>
      </c>
      <c r="DD282" s="61">
        <f t="shared" si="398"/>
        <v>0.81176470588235294</v>
      </c>
      <c r="DE282" s="21">
        <f t="shared" si="399"/>
        <v>25.87166666666667</v>
      </c>
      <c r="DF282" s="55"/>
      <c r="DG282" s="56">
        <v>5.2</v>
      </c>
      <c r="DH282" s="56">
        <v>5.62</v>
      </c>
      <c r="DI282" s="55"/>
      <c r="DJ282" s="104"/>
      <c r="DK282" s="56"/>
      <c r="DM282" s="58">
        <f t="shared" si="369"/>
        <v>916.29225747450505</v>
      </c>
      <c r="DN282" s="58">
        <f t="shared" si="382"/>
        <v>784.125</v>
      </c>
      <c r="DO282" s="21">
        <f t="shared" si="383"/>
        <v>0.85575862243037404</v>
      </c>
      <c r="DP282" s="62">
        <f t="shared" si="422"/>
        <v>1.0172819970160796</v>
      </c>
      <c r="DQ282" s="7" t="s">
        <v>130</v>
      </c>
      <c r="DR282" s="107">
        <f t="shared" si="404"/>
        <v>0</v>
      </c>
    </row>
    <row r="283" spans="1:122" ht="12.75" customHeight="1" x14ac:dyDescent="0.2">
      <c r="A283" s="53" t="s">
        <v>466</v>
      </c>
      <c r="B283" s="54">
        <v>2</v>
      </c>
      <c r="C283" s="92">
        <f t="shared" si="388"/>
        <v>116.23074545230072</v>
      </c>
      <c r="D283" s="92">
        <f t="shared" si="389"/>
        <v>109.81441627970446</v>
      </c>
      <c r="E283" s="92">
        <f>VLOOKUP(A283,[3]TRTOTAL!$A$7:$D$313,3,FALSE)</f>
        <v>116.23074545230072</v>
      </c>
      <c r="F283" s="92">
        <f>VLOOKUP(A283,[3]TRTOTAL!$A$7:$D$313,4,FALSE)</f>
        <v>109.81441627970446</v>
      </c>
      <c r="G283" s="92">
        <f t="shared" si="400"/>
        <v>0</v>
      </c>
      <c r="H283" s="92">
        <f t="shared" si="401"/>
        <v>0</v>
      </c>
      <c r="I283" s="54">
        <v>4.9000000000000004</v>
      </c>
      <c r="J283" s="56">
        <v>4.8</v>
      </c>
      <c r="K283" s="54">
        <v>2</v>
      </c>
      <c r="L283" s="57">
        <v>2</v>
      </c>
      <c r="M283" s="57">
        <v>145</v>
      </c>
      <c r="N283" s="57"/>
      <c r="O283" s="87"/>
      <c r="P283" s="24">
        <f t="shared" si="387"/>
        <v>14</v>
      </c>
      <c r="Q283" s="24">
        <f t="shared" si="371"/>
        <v>7.7</v>
      </c>
      <c r="R283" s="24">
        <f t="shared" si="423"/>
        <v>4</v>
      </c>
      <c r="S283" s="87">
        <v>8.1</v>
      </c>
      <c r="T283" s="21">
        <f t="shared" si="373"/>
        <v>4</v>
      </c>
      <c r="U283" s="21"/>
      <c r="V283" s="24">
        <f t="shared" si="374"/>
        <v>2.31</v>
      </c>
      <c r="W283" s="24">
        <f t="shared" si="375"/>
        <v>2.4700000000000002</v>
      </c>
      <c r="X283" s="24">
        <f t="shared" si="376"/>
        <v>2.294743398514973</v>
      </c>
      <c r="Y283" s="25">
        <f t="shared" si="403"/>
        <v>1</v>
      </c>
      <c r="Z283" s="24">
        <f t="shared" si="390"/>
        <v>12.034362165317541</v>
      </c>
      <c r="AA283" s="21">
        <f t="shared" si="377"/>
        <v>0</v>
      </c>
      <c r="AB283" s="24">
        <f t="shared" si="391"/>
        <v>3.6</v>
      </c>
      <c r="AC283" s="24">
        <f t="shared" si="407"/>
        <v>18.316362165317539</v>
      </c>
      <c r="AD283" s="58">
        <f t="shared" si="378"/>
        <v>295</v>
      </c>
      <c r="AE283" s="58">
        <f t="shared" si="379"/>
        <v>301</v>
      </c>
      <c r="AF283" s="21">
        <f t="shared" si="392"/>
        <v>3.15</v>
      </c>
      <c r="AG283" s="77">
        <f t="shared" si="393"/>
        <v>0</v>
      </c>
      <c r="AH283" s="114">
        <f t="shared" si="402"/>
        <v>1</v>
      </c>
      <c r="AI283" s="59">
        <f t="shared" si="394"/>
        <v>114.81268578595892</v>
      </c>
      <c r="AJ283" s="59">
        <f t="shared" si="395"/>
        <v>108.47463828978333</v>
      </c>
      <c r="AK283" s="55"/>
      <c r="AL283" s="55"/>
      <c r="AM283" s="21">
        <f t="shared" si="424"/>
        <v>0</v>
      </c>
      <c r="AN283" s="54">
        <v>7.7</v>
      </c>
      <c r="AO283" s="55"/>
      <c r="AP283" s="21">
        <f t="shared" si="425"/>
        <v>0</v>
      </c>
      <c r="AQ283" s="55"/>
      <c r="AR283" s="55"/>
      <c r="AS283" s="21">
        <f t="shared" si="426"/>
        <v>0</v>
      </c>
      <c r="AT283" s="54"/>
      <c r="AU283" s="54"/>
      <c r="AV283" s="21">
        <f t="shared" si="427"/>
        <v>0</v>
      </c>
      <c r="AW283" s="54"/>
      <c r="AX283" s="54"/>
      <c r="AY283" s="21">
        <f t="shared" si="428"/>
        <v>0</v>
      </c>
      <c r="AZ283" s="54"/>
      <c r="BA283" s="54"/>
      <c r="BB283" s="21">
        <f t="shared" si="429"/>
        <v>0</v>
      </c>
      <c r="BC283" s="54"/>
      <c r="BD283" s="54"/>
      <c r="BE283" s="21">
        <f t="shared" si="430"/>
        <v>0</v>
      </c>
      <c r="BF283" s="55"/>
      <c r="BG283" s="55"/>
      <c r="BH283" s="21">
        <f t="shared" si="431"/>
        <v>0</v>
      </c>
      <c r="BI283" s="55"/>
      <c r="BJ283" s="55"/>
      <c r="BK283" s="21">
        <f t="shared" si="432"/>
        <v>0</v>
      </c>
      <c r="BL283" s="55"/>
      <c r="BM283" s="55"/>
      <c r="BN283" s="21">
        <f t="shared" si="433"/>
        <v>0</v>
      </c>
      <c r="BO283" s="55"/>
      <c r="BP283" s="55"/>
      <c r="BQ283" s="21">
        <f t="shared" si="434"/>
        <v>0</v>
      </c>
      <c r="BR283" s="55"/>
      <c r="BS283" s="21">
        <f t="shared" si="385"/>
        <v>0</v>
      </c>
      <c r="BT283" s="56">
        <v>0</v>
      </c>
      <c r="BU283" s="56"/>
      <c r="BV283" s="21">
        <f t="shared" si="418"/>
        <v>0</v>
      </c>
      <c r="BW283" s="77">
        <f t="shared" si="419"/>
        <v>0</v>
      </c>
      <c r="BX283" s="55"/>
      <c r="BY283" s="21">
        <f t="shared" si="435"/>
        <v>0</v>
      </c>
      <c r="BZ283" s="55"/>
      <c r="CA283" s="55"/>
      <c r="CB283" s="21">
        <f t="shared" si="436"/>
        <v>0</v>
      </c>
      <c r="CC283" s="54"/>
      <c r="CD283" s="54"/>
      <c r="CE283" s="21">
        <f t="shared" si="437"/>
        <v>0</v>
      </c>
      <c r="CF283" s="21"/>
      <c r="CG283" s="21"/>
      <c r="CH283" s="21">
        <f t="shared" si="396"/>
        <v>0</v>
      </c>
      <c r="CI283" s="25">
        <f t="shared" si="406"/>
        <v>4</v>
      </c>
      <c r="CJ283" s="54"/>
      <c r="CK283" s="21">
        <f t="shared" si="386"/>
        <v>0</v>
      </c>
      <c r="CL283" s="55"/>
      <c r="CM283" s="55"/>
      <c r="CN283" s="60"/>
      <c r="CO283" s="55"/>
      <c r="CP283" s="55"/>
      <c r="CQ283" s="55"/>
      <c r="CR283" s="55"/>
      <c r="CS283" s="55"/>
      <c r="CT283" s="55"/>
      <c r="CU283" s="55"/>
      <c r="CV283" s="55"/>
      <c r="CW283" s="55"/>
      <c r="CX283" s="55"/>
      <c r="CY283" s="21">
        <f t="shared" ref="CY283:CY291" si="438">(CT283+4*CU283+2*CV283+4*CW283+CX283)*AN283/12</f>
        <v>0</v>
      </c>
      <c r="CZ283" s="56"/>
      <c r="DA283" s="56"/>
      <c r="DB283" s="56"/>
      <c r="DC283" s="56"/>
      <c r="DD283" s="61">
        <f t="shared" si="398"/>
        <v>0</v>
      </c>
      <c r="DE283" s="21">
        <f t="shared" si="399"/>
        <v>0</v>
      </c>
      <c r="DF283" s="55">
        <v>14</v>
      </c>
      <c r="DG283" s="55">
        <v>4</v>
      </c>
      <c r="DH283" s="55">
        <v>4</v>
      </c>
      <c r="DI283" s="55"/>
      <c r="DJ283" s="104"/>
      <c r="DK283" s="53"/>
      <c r="DM283" s="58">
        <f t="shared" si="369"/>
        <v>665.24548607999986</v>
      </c>
      <c r="DN283" s="58">
        <f t="shared" si="382"/>
        <v>595</v>
      </c>
      <c r="DO283" s="21">
        <f t="shared" si="383"/>
        <v>0.89440667009418473</v>
      </c>
      <c r="DP283" s="62">
        <f t="shared" si="422"/>
        <v>1.0123510712830588</v>
      </c>
      <c r="DQ283" s="7">
        <v>0</v>
      </c>
      <c r="DR283" s="107">
        <f t="shared" si="404"/>
        <v>0</v>
      </c>
    </row>
    <row r="284" spans="1:122" ht="12.75" customHeight="1" x14ac:dyDescent="0.2">
      <c r="A284" s="53" t="s">
        <v>467</v>
      </c>
      <c r="B284" s="57">
        <v>2</v>
      </c>
      <c r="C284" s="92">
        <f t="shared" si="388"/>
        <v>106.74791154519157</v>
      </c>
      <c r="D284" s="92">
        <f t="shared" si="389"/>
        <v>102.26597594557508</v>
      </c>
      <c r="E284" s="92">
        <f>VLOOKUP(A284,[3]TRTOTAL!$A$7:$D$313,3,FALSE)</f>
        <v>106.74791154519157</v>
      </c>
      <c r="F284" s="92">
        <f>VLOOKUP(A284,[3]TRTOTAL!$A$7:$D$313,4,FALSE)</f>
        <v>102.26597594557508</v>
      </c>
      <c r="G284" s="92">
        <f t="shared" si="400"/>
        <v>0</v>
      </c>
      <c r="H284" s="92">
        <f t="shared" si="401"/>
        <v>0</v>
      </c>
      <c r="I284" s="54">
        <v>5.49</v>
      </c>
      <c r="J284" s="56">
        <v>5.4</v>
      </c>
      <c r="K284" s="54">
        <v>2.5</v>
      </c>
      <c r="L284" s="57">
        <v>2</v>
      </c>
      <c r="M284" s="57">
        <v>160</v>
      </c>
      <c r="N284" s="57"/>
      <c r="O284" s="87"/>
      <c r="P284" s="21">
        <f t="shared" si="387"/>
        <v>15.6</v>
      </c>
      <c r="Q284" s="24">
        <f t="shared" si="371"/>
        <v>8.44</v>
      </c>
      <c r="R284" s="21">
        <f t="shared" si="423"/>
        <v>6.1</v>
      </c>
      <c r="S284" s="87">
        <v>8.9</v>
      </c>
      <c r="T284" s="21">
        <f t="shared" si="373"/>
        <v>5</v>
      </c>
      <c r="U284" s="21"/>
      <c r="V284" s="24">
        <f t="shared" si="374"/>
        <v>2.5319999999999996</v>
      </c>
      <c r="W284" s="24">
        <f t="shared" si="375"/>
        <v>2.6919999999999997</v>
      </c>
      <c r="X284" s="24">
        <f t="shared" si="376"/>
        <v>2.1526552726807076</v>
      </c>
      <c r="Y284" s="25">
        <f t="shared" si="403"/>
        <v>1</v>
      </c>
      <c r="Z284" s="24">
        <f t="shared" si="390"/>
        <v>13.155027104238272</v>
      </c>
      <c r="AA284" s="21">
        <f t="shared" si="377"/>
        <v>0</v>
      </c>
      <c r="AB284" s="24">
        <f t="shared" si="391"/>
        <v>5.49</v>
      </c>
      <c r="AC284" s="24">
        <f t="shared" si="407"/>
        <v>21.081327104238273</v>
      </c>
      <c r="AD284" s="58">
        <f t="shared" si="378"/>
        <v>310</v>
      </c>
      <c r="AE284" s="58">
        <f t="shared" si="379"/>
        <v>316</v>
      </c>
      <c r="AF284" s="21">
        <f t="shared" si="392"/>
        <v>3.15</v>
      </c>
      <c r="AG284" s="77">
        <f t="shared" si="393"/>
        <v>0</v>
      </c>
      <c r="AH284" s="114">
        <f t="shared" si="402"/>
        <v>1</v>
      </c>
      <c r="AI284" s="59">
        <f t="shared" si="394"/>
        <v>104.96665909351121</v>
      </c>
      <c r="AJ284" s="59">
        <f t="shared" si="395"/>
        <v>100.55951145610896</v>
      </c>
      <c r="AK284" s="56"/>
      <c r="AL284" s="55"/>
      <c r="AM284" s="21">
        <f t="shared" si="424"/>
        <v>0</v>
      </c>
      <c r="AN284" s="56">
        <v>8.44</v>
      </c>
      <c r="AO284" s="56"/>
      <c r="AP284" s="21">
        <f t="shared" si="425"/>
        <v>0</v>
      </c>
      <c r="AQ284" s="56"/>
      <c r="AR284" s="56"/>
      <c r="AS284" s="21">
        <f t="shared" si="426"/>
        <v>0</v>
      </c>
      <c r="AT284" s="56"/>
      <c r="AU284" s="56"/>
      <c r="AV284" s="21">
        <f t="shared" si="427"/>
        <v>0</v>
      </c>
      <c r="AW284" s="56"/>
      <c r="AX284" s="56"/>
      <c r="AY284" s="21">
        <f t="shared" si="428"/>
        <v>0</v>
      </c>
      <c r="AZ284" s="56"/>
      <c r="BA284" s="56"/>
      <c r="BB284" s="21">
        <f t="shared" si="429"/>
        <v>0</v>
      </c>
      <c r="BC284" s="56"/>
      <c r="BD284" s="56"/>
      <c r="BE284" s="21">
        <f t="shared" si="430"/>
        <v>0</v>
      </c>
      <c r="BF284" s="56"/>
      <c r="BG284" s="56"/>
      <c r="BH284" s="21">
        <f t="shared" si="431"/>
        <v>0</v>
      </c>
      <c r="BI284" s="56"/>
      <c r="BJ284" s="56"/>
      <c r="BK284" s="21">
        <f t="shared" si="432"/>
        <v>0</v>
      </c>
      <c r="BL284" s="56"/>
      <c r="BM284" s="56"/>
      <c r="BN284" s="21">
        <f t="shared" si="433"/>
        <v>0</v>
      </c>
      <c r="BO284" s="56"/>
      <c r="BP284" s="56"/>
      <c r="BQ284" s="21">
        <f t="shared" si="434"/>
        <v>0</v>
      </c>
      <c r="BR284" s="56"/>
      <c r="BS284" s="21">
        <f t="shared" si="385"/>
        <v>0</v>
      </c>
      <c r="BT284" s="56">
        <v>0</v>
      </c>
      <c r="BU284" s="56"/>
      <c r="BV284" s="21">
        <f t="shared" si="418"/>
        <v>0</v>
      </c>
      <c r="BW284" s="77">
        <f t="shared" si="419"/>
        <v>0</v>
      </c>
      <c r="BX284" s="55"/>
      <c r="BY284" s="21">
        <f t="shared" si="435"/>
        <v>0</v>
      </c>
      <c r="BZ284" s="56"/>
      <c r="CA284" s="56"/>
      <c r="CB284" s="21">
        <f t="shared" si="436"/>
        <v>0</v>
      </c>
      <c r="CC284" s="56"/>
      <c r="CD284" s="56"/>
      <c r="CE284" s="21">
        <f t="shared" si="437"/>
        <v>0</v>
      </c>
      <c r="CF284" s="21"/>
      <c r="CG284" s="21"/>
      <c r="CH284" s="21">
        <f t="shared" si="396"/>
        <v>0</v>
      </c>
      <c r="CI284" s="25">
        <f t="shared" si="406"/>
        <v>6.1</v>
      </c>
      <c r="CJ284" s="56"/>
      <c r="CK284" s="21">
        <f t="shared" si="386"/>
        <v>0</v>
      </c>
      <c r="CL284" s="57"/>
      <c r="CM284" s="57"/>
      <c r="CN284" s="57"/>
      <c r="CO284" s="57"/>
      <c r="CP284" s="57"/>
      <c r="CQ284" s="57"/>
      <c r="CR284" s="57"/>
      <c r="CS284" s="57"/>
      <c r="CT284" s="57"/>
      <c r="CU284" s="57"/>
      <c r="CV284" s="57"/>
      <c r="CW284" s="57"/>
      <c r="CX284" s="57"/>
      <c r="CY284" s="58">
        <f t="shared" si="438"/>
        <v>0</v>
      </c>
      <c r="CZ284" s="56"/>
      <c r="DA284" s="56"/>
      <c r="DB284" s="56"/>
      <c r="DC284" s="56"/>
      <c r="DD284" s="61">
        <f t="shared" si="398"/>
        <v>0</v>
      </c>
      <c r="DE284" s="21">
        <f t="shared" si="399"/>
        <v>0</v>
      </c>
      <c r="DF284" s="55">
        <v>15.6</v>
      </c>
      <c r="DG284" s="56">
        <v>6.1</v>
      </c>
      <c r="DH284" s="56">
        <v>5</v>
      </c>
      <c r="DI284" s="55"/>
      <c r="DJ284" s="104"/>
      <c r="DK284" s="56"/>
      <c r="DM284" s="58">
        <f t="shared" si="369"/>
        <v>844.84003107839987</v>
      </c>
      <c r="DN284" s="58">
        <f t="shared" si="382"/>
        <v>725</v>
      </c>
      <c r="DO284" s="21">
        <f t="shared" si="383"/>
        <v>0.85815062417742027</v>
      </c>
      <c r="DP284" s="62">
        <f t="shared" si="422"/>
        <v>1.0169696974931202</v>
      </c>
      <c r="DQ284" s="7">
        <v>0</v>
      </c>
      <c r="DR284" s="107">
        <f t="shared" si="404"/>
        <v>0</v>
      </c>
    </row>
    <row r="285" spans="1:122" ht="12.75" customHeight="1" x14ac:dyDescent="0.2">
      <c r="A285" s="53" t="s">
        <v>468</v>
      </c>
      <c r="B285" s="54">
        <v>2</v>
      </c>
      <c r="C285" s="92">
        <f t="shared" si="388"/>
        <v>125.88835329542631</v>
      </c>
      <c r="D285" s="92">
        <f t="shared" si="389"/>
        <v>117.65800230921846</v>
      </c>
      <c r="E285" s="92">
        <f>VLOOKUP(A285,[3]TRTOTAL!$A$7:$D$313,3,FALSE)</f>
        <v>125.88835329542631</v>
      </c>
      <c r="F285" s="92">
        <f>VLOOKUP(A285,[3]TRTOTAL!$A$7:$D$313,4,FALSE)</f>
        <v>117.65800230921846</v>
      </c>
      <c r="G285" s="92">
        <f t="shared" si="400"/>
        <v>0</v>
      </c>
      <c r="H285" s="92">
        <f t="shared" si="401"/>
        <v>0</v>
      </c>
      <c r="I285" s="54">
        <v>5.15</v>
      </c>
      <c r="J285" s="56">
        <v>5.1440000000000001</v>
      </c>
      <c r="K285" s="54">
        <v>2.2999999999999998</v>
      </c>
      <c r="L285" s="57">
        <v>2</v>
      </c>
      <c r="M285" s="57">
        <v>166</v>
      </c>
      <c r="N285" s="57"/>
      <c r="O285" s="87" t="s">
        <v>133</v>
      </c>
      <c r="P285" s="24">
        <f t="shared" si="387"/>
        <v>12.387187000000001</v>
      </c>
      <c r="Q285" s="24">
        <f t="shared" si="371"/>
        <v>6.7949999999999999</v>
      </c>
      <c r="R285" s="24">
        <f t="shared" si="423"/>
        <v>3.4348206666666665</v>
      </c>
      <c r="S285" s="87">
        <v>7.2</v>
      </c>
      <c r="T285" s="21">
        <f t="shared" si="373"/>
        <v>4.8128000000000002</v>
      </c>
      <c r="U285" s="21"/>
      <c r="V285" s="24">
        <f t="shared" si="374"/>
        <v>2.04</v>
      </c>
      <c r="W285" s="24">
        <f t="shared" si="375"/>
        <v>2.2229999999999999</v>
      </c>
      <c r="X285" s="24">
        <f t="shared" si="376"/>
        <v>2.5066504051517193</v>
      </c>
      <c r="Y285" s="25">
        <f t="shared" si="403"/>
        <v>1</v>
      </c>
      <c r="Z285" s="24">
        <f t="shared" si="390"/>
        <v>10.93391333144708</v>
      </c>
      <c r="AA285" s="21">
        <f t="shared" si="377"/>
        <v>1.5471468252180833</v>
      </c>
      <c r="AB285" s="24">
        <f t="shared" si="391"/>
        <v>2.8190061470064989</v>
      </c>
      <c r="AC285" s="24">
        <f t="shared" si="407"/>
        <v>16.536448679342733</v>
      </c>
      <c r="AD285" s="58">
        <f t="shared" si="378"/>
        <v>316</v>
      </c>
      <c r="AE285" s="58">
        <f t="shared" si="379"/>
        <v>322</v>
      </c>
      <c r="AF285" s="21">
        <f t="shared" si="392"/>
        <v>3.15</v>
      </c>
      <c r="AG285" s="77">
        <f t="shared" si="393"/>
        <v>0</v>
      </c>
      <c r="AH285" s="114">
        <f t="shared" si="402"/>
        <v>1.04</v>
      </c>
      <c r="AI285" s="59">
        <f t="shared" si="394"/>
        <v>125.88835329542631</v>
      </c>
      <c r="AJ285" s="59">
        <f t="shared" si="395"/>
        <v>117.65800230921846</v>
      </c>
      <c r="AK285" s="55">
        <v>6.4859999999999998</v>
      </c>
      <c r="AL285" s="55">
        <v>2.04</v>
      </c>
      <c r="AM285" s="21">
        <f t="shared" si="424"/>
        <v>6.6157199999999996</v>
      </c>
      <c r="AN285" s="54">
        <v>6.7949999999999999</v>
      </c>
      <c r="AO285" s="55">
        <v>6.7000000000000004E-2</v>
      </c>
      <c r="AP285" s="21">
        <f t="shared" si="425"/>
        <v>0.30351</v>
      </c>
      <c r="AQ285" s="55">
        <v>2.04</v>
      </c>
      <c r="AR285" s="55">
        <v>7.9000000000000001E-2</v>
      </c>
      <c r="AS285" s="21">
        <f t="shared" si="426"/>
        <v>0.10743999999999999</v>
      </c>
      <c r="AT285" s="54">
        <v>6.4859999999999998</v>
      </c>
      <c r="AU285" s="54">
        <v>0.82499999999999996</v>
      </c>
      <c r="AV285" s="21">
        <f t="shared" si="427"/>
        <v>2.6754749999999996</v>
      </c>
      <c r="AW285" s="54">
        <v>1.1220000000000001</v>
      </c>
      <c r="AX285" s="54">
        <v>0.27200000000000002</v>
      </c>
      <c r="AY285" s="21">
        <f t="shared" si="428"/>
        <v>0.15259200000000003</v>
      </c>
      <c r="AZ285" s="54">
        <v>5.7850000000000001</v>
      </c>
      <c r="BA285" s="54">
        <v>0.315</v>
      </c>
      <c r="BB285" s="21">
        <f t="shared" si="429"/>
        <v>1.21485</v>
      </c>
      <c r="BC285" s="54"/>
      <c r="BD285" s="54"/>
      <c r="BE285" s="21">
        <f t="shared" si="430"/>
        <v>0</v>
      </c>
      <c r="BF285" s="55"/>
      <c r="BG285" s="55"/>
      <c r="BH285" s="21">
        <f t="shared" si="431"/>
        <v>0</v>
      </c>
      <c r="BI285" s="55"/>
      <c r="BJ285" s="55"/>
      <c r="BK285" s="21">
        <f t="shared" si="432"/>
        <v>0</v>
      </c>
      <c r="BL285" s="55"/>
      <c r="BM285" s="55"/>
      <c r="BN285" s="21">
        <f t="shared" si="433"/>
        <v>0</v>
      </c>
      <c r="BO285" s="55"/>
      <c r="BP285" s="55"/>
      <c r="BQ285" s="21">
        <f t="shared" si="434"/>
        <v>0</v>
      </c>
      <c r="BR285" s="55"/>
      <c r="BS285" s="21">
        <f t="shared" si="385"/>
        <v>11.069587</v>
      </c>
      <c r="BT285" s="56">
        <v>5.12</v>
      </c>
      <c r="BU285" s="56">
        <v>1.49</v>
      </c>
      <c r="BV285" s="21">
        <f t="shared" si="418"/>
        <v>3.8144</v>
      </c>
      <c r="BW285" s="77">
        <f t="shared" si="419"/>
        <v>5.12</v>
      </c>
      <c r="BX285" s="55"/>
      <c r="BY285" s="21">
        <f t="shared" si="435"/>
        <v>0</v>
      </c>
      <c r="BZ285" s="55">
        <v>5.093</v>
      </c>
      <c r="CA285" s="55">
        <v>-0.11799999999999999</v>
      </c>
      <c r="CB285" s="21">
        <f t="shared" si="436"/>
        <v>-0.40064933333333336</v>
      </c>
      <c r="CC285" s="54">
        <v>1.5049999999999999</v>
      </c>
      <c r="CD285" s="54">
        <v>2.1000000000000001E-2</v>
      </c>
      <c r="CE285" s="21">
        <f t="shared" si="437"/>
        <v>2.1070000000000002E-2</v>
      </c>
      <c r="CF285" s="21"/>
      <c r="CG285" s="21"/>
      <c r="CH285" s="21">
        <f t="shared" si="396"/>
        <v>0</v>
      </c>
      <c r="CI285" s="25">
        <f t="shared" si="406"/>
        <v>3.4348206666666665</v>
      </c>
      <c r="CJ285" s="54">
        <v>0.36599999999999999</v>
      </c>
      <c r="CK285" s="21">
        <f t="shared" si="386"/>
        <v>1.3176000000000001</v>
      </c>
      <c r="CL285" s="55">
        <v>24</v>
      </c>
      <c r="CM285" s="55"/>
      <c r="CN285" s="60"/>
      <c r="CO285" s="55" t="s">
        <v>162</v>
      </c>
      <c r="CP285" s="55"/>
      <c r="CQ285" s="55"/>
      <c r="CR285" s="55"/>
      <c r="CS285" s="55"/>
      <c r="CT285" s="55"/>
      <c r="CU285" s="55"/>
      <c r="CV285" s="55"/>
      <c r="CW285" s="55"/>
      <c r="CX285" s="55"/>
      <c r="CY285" s="21">
        <f t="shared" si="438"/>
        <v>0</v>
      </c>
      <c r="CZ285" s="56"/>
      <c r="DA285" s="56"/>
      <c r="DB285" s="56"/>
      <c r="DC285" s="56"/>
      <c r="DD285" s="61">
        <f t="shared" si="398"/>
        <v>0</v>
      </c>
      <c r="DE285" s="21">
        <f t="shared" si="399"/>
        <v>0</v>
      </c>
      <c r="DF285" s="55"/>
      <c r="DG285" s="55"/>
      <c r="DH285" s="55"/>
      <c r="DI285" s="55"/>
      <c r="DJ285" s="104"/>
      <c r="DK285" s="53"/>
      <c r="DM285" s="58">
        <f t="shared" si="369"/>
        <v>549.51032802546104</v>
      </c>
      <c r="DN285" s="58">
        <f t="shared" si="382"/>
        <v>685.9</v>
      </c>
      <c r="DO285" s="21">
        <f t="shared" si="383"/>
        <v>1.2482021993374062</v>
      </c>
      <c r="DP285" s="62">
        <f t="shared" si="422"/>
        <v>1</v>
      </c>
      <c r="DQ285" s="7">
        <v>0</v>
      </c>
      <c r="DR285" s="107">
        <f t="shared" si="404"/>
        <v>0</v>
      </c>
    </row>
    <row r="286" spans="1:122" ht="12.75" customHeight="1" x14ac:dyDescent="0.2">
      <c r="A286" s="53" t="s">
        <v>469</v>
      </c>
      <c r="B286" s="57">
        <v>2</v>
      </c>
      <c r="C286" s="92">
        <f t="shared" si="388"/>
        <v>110.48314726976125</v>
      </c>
      <c r="D286" s="92">
        <f t="shared" si="389"/>
        <v>106.17683235350658</v>
      </c>
      <c r="E286" s="92">
        <f>VLOOKUP(A286,[3]TRTOTAL!$A$7:$D$313,3,FALSE)</f>
        <v>110.48314726976125</v>
      </c>
      <c r="F286" s="92">
        <f>VLOOKUP(A286,[3]TRTOTAL!$A$7:$D$313,4,FALSE)</f>
        <v>106.17683235350658</v>
      </c>
      <c r="G286" s="92">
        <f t="shared" si="400"/>
        <v>0</v>
      </c>
      <c r="H286" s="92">
        <f t="shared" si="401"/>
        <v>0</v>
      </c>
      <c r="I286" s="54">
        <v>5.15</v>
      </c>
      <c r="J286" s="56">
        <v>5.1440000000000001</v>
      </c>
      <c r="K286" s="54">
        <v>2.5</v>
      </c>
      <c r="L286" s="57">
        <v>2</v>
      </c>
      <c r="M286" s="57">
        <v>188</v>
      </c>
      <c r="N286" s="57"/>
      <c r="O286" s="87" t="s">
        <v>133</v>
      </c>
      <c r="P286" s="21">
        <f t="shared" si="387"/>
        <v>18.104973833333332</v>
      </c>
      <c r="Q286" s="24">
        <f t="shared" ref="Q286:Q292" si="439">voorvlm1+voorllm2</f>
        <v>8.48</v>
      </c>
      <c r="R286" s="21">
        <f t="shared" si="423"/>
        <v>4.9612391666666653</v>
      </c>
      <c r="S286" s="87">
        <v>8.9</v>
      </c>
      <c r="T286" s="21">
        <f t="shared" ref="T286:T295" si="440">IF(gs_1,gs_1*0.94,VlgNoDetails)</f>
        <v>5.8514999999999997</v>
      </c>
      <c r="U286" s="21"/>
      <c r="V286" s="24">
        <f t="shared" ref="V286:V299" si="441">IF(e_sp,e_sp,(IF(mfoot,MAX(CU286:CX286),IF(mainh1,mainh1,vlm*0.3))))</f>
        <v>2.2629999999999999</v>
      </c>
      <c r="W286" s="24">
        <f t="shared" ref="W286:W299" si="442">IF(circMast,circMast/2,0.16)+V286</f>
        <v>2.4459999999999997</v>
      </c>
      <c r="X286" s="24">
        <f t="shared" ref="X286:X295" si="443">msam/e^2</f>
        <v>3.0261119884239287</v>
      </c>
      <c r="Y286" s="25">
        <f t="shared" si="403"/>
        <v>1</v>
      </c>
      <c r="Z286" s="24">
        <f t="shared" si="390"/>
        <v>16.909789564139636</v>
      </c>
      <c r="AA286" s="21">
        <f t="shared" ref="AA286:AA295" si="444">IF(lpg,msag/lpg^2,0)</f>
        <v>2.0784194412151802</v>
      </c>
      <c r="AB286" s="24">
        <f t="shared" si="391"/>
        <v>4.4487973036150379</v>
      </c>
      <c r="AC286" s="24">
        <f t="shared" si="407"/>
        <v>23.930243218284719</v>
      </c>
      <c r="AD286" s="58">
        <f t="shared" ref="AD286:AD295" si="445">IF(wsex,wsex,wsin-6)+crew*(IF(AND(crew=1,msam+msag&gt;=11),75,IF(loa&lt;=4,65,IF(loa&lt;=4.8,70,75))))</f>
        <v>338</v>
      </c>
      <c r="AE286" s="58">
        <f t="shared" ref="AE286:AE295" si="446">IF(wsin,wsin,wsex+6)+crew*(IF(AND(crew=1,msam+msag&gt;=11),75,IF(loa&lt;=4,65,IF(loa&lt;=4.8,70,75))))</f>
        <v>344</v>
      </c>
      <c r="AF286" s="21">
        <f t="shared" si="392"/>
        <v>3.15</v>
      </c>
      <c r="AG286" s="77">
        <f t="shared" si="393"/>
        <v>0</v>
      </c>
      <c r="AH286" s="114">
        <f t="shared" si="402"/>
        <v>1.04</v>
      </c>
      <c r="AI286" s="59">
        <f t="shared" si="394"/>
        <v>107.89818328603084</v>
      </c>
      <c r="AJ286" s="59">
        <f t="shared" si="395"/>
        <v>103.69262282180078</v>
      </c>
      <c r="AK286" s="56">
        <v>8.4459999999999997</v>
      </c>
      <c r="AL286" s="55">
        <v>2.2629999999999999</v>
      </c>
      <c r="AM286" s="21">
        <f t="shared" si="424"/>
        <v>9.5566489999999984</v>
      </c>
      <c r="AN286" s="56">
        <v>8.48</v>
      </c>
      <c r="AO286" s="56">
        <v>0.112</v>
      </c>
      <c r="AP286" s="21">
        <f t="shared" si="425"/>
        <v>0.63317333333333337</v>
      </c>
      <c r="AQ286" s="56">
        <v>2.2799999999999998</v>
      </c>
      <c r="AR286" s="56">
        <v>9.6000000000000002E-2</v>
      </c>
      <c r="AS286" s="21">
        <f t="shared" si="426"/>
        <v>0.14591999999999999</v>
      </c>
      <c r="AT286" s="56">
        <v>8.4469999999999992</v>
      </c>
      <c r="AU286" s="56">
        <v>1.141</v>
      </c>
      <c r="AV286" s="21">
        <f t="shared" si="427"/>
        <v>4.8190134999999996</v>
      </c>
      <c r="AW286" s="56">
        <v>1.4710000000000001</v>
      </c>
      <c r="AX286" s="56">
        <v>0.34</v>
      </c>
      <c r="AY286" s="21">
        <f t="shared" si="428"/>
        <v>0.25007000000000001</v>
      </c>
      <c r="AZ286" s="56">
        <v>7.5810000000000004</v>
      </c>
      <c r="BA286" s="56">
        <v>0.21199999999999999</v>
      </c>
      <c r="BB286" s="21">
        <f t="shared" si="429"/>
        <v>1.071448</v>
      </c>
      <c r="BC286" s="56"/>
      <c r="BD286" s="56"/>
      <c r="BE286" s="21">
        <f t="shared" si="430"/>
        <v>0</v>
      </c>
      <c r="BF286" s="56"/>
      <c r="BG286" s="56"/>
      <c r="BH286" s="21">
        <f t="shared" si="431"/>
        <v>0</v>
      </c>
      <c r="BI286" s="56"/>
      <c r="BJ286" s="56"/>
      <c r="BK286" s="21">
        <f t="shared" si="432"/>
        <v>0</v>
      </c>
      <c r="BL286" s="56"/>
      <c r="BM286" s="56"/>
      <c r="BN286" s="21">
        <f t="shared" si="433"/>
        <v>0</v>
      </c>
      <c r="BO286" s="56"/>
      <c r="BP286" s="56"/>
      <c r="BQ286" s="21">
        <f t="shared" si="434"/>
        <v>0</v>
      </c>
      <c r="BR286" s="56"/>
      <c r="BS286" s="21">
        <f t="shared" si="385"/>
        <v>16.476273833333334</v>
      </c>
      <c r="BT286" s="56">
        <v>6.2249999999999996</v>
      </c>
      <c r="BU286" s="56">
        <v>1.5449999999999999</v>
      </c>
      <c r="BV286" s="21">
        <f t="shared" si="418"/>
        <v>4.8088124999999993</v>
      </c>
      <c r="BW286" s="77">
        <f t="shared" si="419"/>
        <v>6.2249999999999996</v>
      </c>
      <c r="BX286" s="55"/>
      <c r="BY286" s="21">
        <f t="shared" si="435"/>
        <v>0</v>
      </c>
      <c r="BZ286" s="56">
        <v>5.915</v>
      </c>
      <c r="CA286" s="56">
        <v>3.2000000000000001E-2</v>
      </c>
      <c r="CB286" s="21">
        <f t="shared" si="436"/>
        <v>0.12618666666666667</v>
      </c>
      <c r="CC286" s="56">
        <v>1.64</v>
      </c>
      <c r="CD286" s="56">
        <v>2.4E-2</v>
      </c>
      <c r="CE286" s="21">
        <f t="shared" si="437"/>
        <v>2.6239999999999999E-2</v>
      </c>
      <c r="CF286" s="21"/>
      <c r="CG286" s="21"/>
      <c r="CH286" s="21">
        <f t="shared" si="396"/>
        <v>0</v>
      </c>
      <c r="CI286" s="25">
        <f t="shared" si="406"/>
        <v>4.9612391666666653</v>
      </c>
      <c r="CJ286" s="56">
        <v>0.36599999999999999</v>
      </c>
      <c r="CK286" s="21">
        <f t="shared" si="386"/>
        <v>1.6287</v>
      </c>
      <c r="CL286" s="57" t="s">
        <v>470</v>
      </c>
      <c r="CM286" s="57"/>
      <c r="CN286" s="57"/>
      <c r="CO286" s="57" t="s">
        <v>162</v>
      </c>
      <c r="CP286" s="57"/>
      <c r="CQ286" s="57"/>
      <c r="CR286" s="57"/>
      <c r="CS286" s="57"/>
      <c r="CT286" s="57"/>
      <c r="CU286" s="57"/>
      <c r="CV286" s="57"/>
      <c r="CW286" s="57"/>
      <c r="CX286" s="57"/>
      <c r="CY286" s="58">
        <f t="shared" si="438"/>
        <v>0</v>
      </c>
      <c r="CZ286" s="56"/>
      <c r="DA286" s="56"/>
      <c r="DB286" s="56"/>
      <c r="DC286" s="56"/>
      <c r="DD286" s="61">
        <f t="shared" si="398"/>
        <v>0</v>
      </c>
      <c r="DE286" s="21">
        <f t="shared" si="399"/>
        <v>0</v>
      </c>
      <c r="DF286" s="55"/>
      <c r="DG286" s="56"/>
      <c r="DH286" s="56"/>
      <c r="DI286" s="55"/>
      <c r="DJ286" s="104"/>
      <c r="DK286" s="56"/>
      <c r="DM286" s="58">
        <f t="shared" si="369"/>
        <v>942.50888832379587</v>
      </c>
      <c r="DN286" s="58">
        <f t="shared" ref="DN286:DN295" si="447">IF(wsex,0.5*wsex*width+(rwex-wsex)*width+trapeze*(rwex-wsex)/crew,0.5*(wsin-6)*width+(rwin-wsin)*width+trapeze*(rwin-wsin)/crew)</f>
        <v>760</v>
      </c>
      <c r="DO286" s="21">
        <f t="shared" ref="DO286:DO295" si="448">righting/heeling</f>
        <v>0.80635844331571382</v>
      </c>
      <c r="DP286" s="62">
        <f t="shared" si="422"/>
        <v>1.0239574375119722</v>
      </c>
      <c r="DQ286" s="7">
        <v>0</v>
      </c>
      <c r="DR286" s="107">
        <f t="shared" si="404"/>
        <v>0</v>
      </c>
    </row>
    <row r="287" spans="1:122" ht="12.75" customHeight="1" x14ac:dyDescent="0.2">
      <c r="A287" s="53" t="s">
        <v>471</v>
      </c>
      <c r="B287" s="54">
        <v>2</v>
      </c>
      <c r="C287" s="92">
        <f t="shared" si="388"/>
        <v>117.05727967476477</v>
      </c>
      <c r="D287" s="92">
        <f t="shared" si="389"/>
        <v>110.92154070698587</v>
      </c>
      <c r="E287" s="92">
        <f>VLOOKUP(A287,[3]TRTOTAL!$A$7:$D$313,3,FALSE)</f>
        <v>117.05727967476477</v>
      </c>
      <c r="F287" s="92">
        <f>VLOOKUP(A287,[3]TRTOTAL!$A$7:$D$313,4,FALSE)</f>
        <v>110.92154070698587</v>
      </c>
      <c r="G287" s="92">
        <f t="shared" si="400"/>
        <v>0</v>
      </c>
      <c r="H287" s="92">
        <f t="shared" si="401"/>
        <v>0</v>
      </c>
      <c r="I287" s="54">
        <v>5.15</v>
      </c>
      <c r="J287" s="56">
        <v>5.1440000000000001</v>
      </c>
      <c r="K287" s="54">
        <v>2.5</v>
      </c>
      <c r="L287" s="57">
        <v>2</v>
      </c>
      <c r="M287" s="57">
        <v>177</v>
      </c>
      <c r="N287" s="57"/>
      <c r="O287" s="87" t="s">
        <v>133</v>
      </c>
      <c r="P287" s="24">
        <f t="shared" si="387"/>
        <v>15.478145666666668</v>
      </c>
      <c r="Q287" s="24">
        <f t="shared" si="439"/>
        <v>7.6449999999999996</v>
      </c>
      <c r="R287" s="24">
        <f t="shared" si="423"/>
        <v>3.7739109999999996</v>
      </c>
      <c r="S287" s="87">
        <v>8</v>
      </c>
      <c r="T287" s="21">
        <f t="shared" si="440"/>
        <v>5.2122999999999999</v>
      </c>
      <c r="U287"/>
      <c r="V287" s="24">
        <f t="shared" si="441"/>
        <v>2.2759999999999998</v>
      </c>
      <c r="W287" s="24">
        <f t="shared" si="442"/>
        <v>2.4589999999999996</v>
      </c>
      <c r="X287" s="24">
        <f t="shared" si="443"/>
        <v>2.559775464699837</v>
      </c>
      <c r="Y287" s="25">
        <f t="shared" si="403"/>
        <v>1</v>
      </c>
      <c r="Z287" s="24">
        <f t="shared" si="390"/>
        <v>13.748467578661975</v>
      </c>
      <c r="AA287" s="21">
        <f t="shared" si="444"/>
        <v>1.7464533296311722</v>
      </c>
      <c r="AB287" s="24">
        <f t="shared" si="391"/>
        <v>3.2119682656292783</v>
      </c>
      <c r="AC287" s="24">
        <f t="shared" si="407"/>
        <v>19.692879969759449</v>
      </c>
      <c r="AD287" s="58">
        <f t="shared" si="445"/>
        <v>327</v>
      </c>
      <c r="AE287" s="58">
        <f t="shared" si="446"/>
        <v>333</v>
      </c>
      <c r="AF287" s="21">
        <f t="shared" si="392"/>
        <v>3.15</v>
      </c>
      <c r="AG287" s="77">
        <f t="shared" si="393"/>
        <v>0</v>
      </c>
      <c r="AH287" s="114">
        <f t="shared" si="402"/>
        <v>1.04</v>
      </c>
      <c r="AI287" s="59">
        <f t="shared" si="394"/>
        <v>117.05727967476477</v>
      </c>
      <c r="AJ287" s="59">
        <f t="shared" si="395"/>
        <v>110.92154070698587</v>
      </c>
      <c r="AK287" s="55">
        <v>7.6970000000000001</v>
      </c>
      <c r="AL287" s="55">
        <v>2.2759999999999998</v>
      </c>
      <c r="AM287" s="21">
        <f t="shared" si="424"/>
        <v>8.7591859999999997</v>
      </c>
      <c r="AN287" s="54">
        <v>7.6449999999999996</v>
      </c>
      <c r="AO287" s="55">
        <v>5.6000000000000001E-2</v>
      </c>
      <c r="AP287" s="21">
        <f t="shared" si="425"/>
        <v>0.28541333333333335</v>
      </c>
      <c r="AQ287" s="55">
        <v>2.3149999999999999</v>
      </c>
      <c r="AR287" s="55">
        <v>9.0999999999999998E-2</v>
      </c>
      <c r="AS287" s="21">
        <f t="shared" si="426"/>
        <v>0.14044333333333334</v>
      </c>
      <c r="AT287" s="54">
        <v>7.6970000000000001</v>
      </c>
      <c r="AU287" s="54">
        <v>0.95799999999999996</v>
      </c>
      <c r="AV287" s="21">
        <f t="shared" si="427"/>
        <v>3.6868629999999998</v>
      </c>
      <c r="AW287" s="54">
        <v>1.792</v>
      </c>
      <c r="AX287" s="54">
        <v>0.30599999999999999</v>
      </c>
      <c r="AY287" s="21">
        <f t="shared" si="428"/>
        <v>0.27417599999999998</v>
      </c>
      <c r="AZ287" s="54">
        <v>6.258</v>
      </c>
      <c r="BA287" s="54">
        <v>0.16900000000000001</v>
      </c>
      <c r="BB287" s="21">
        <f t="shared" si="429"/>
        <v>0.70506800000000014</v>
      </c>
      <c r="BC287" s="54"/>
      <c r="BD287" s="54"/>
      <c r="BE287" s="21">
        <f t="shared" si="430"/>
        <v>0</v>
      </c>
      <c r="BF287" s="55">
        <v>1.1559999999999999</v>
      </c>
      <c r="BG287" s="55">
        <v>0.28199999999999997</v>
      </c>
      <c r="BH287" s="21">
        <f t="shared" si="431"/>
        <v>0.16299599999999997</v>
      </c>
      <c r="BI287" s="55"/>
      <c r="BJ287" s="55"/>
      <c r="BK287" s="21">
        <f t="shared" si="432"/>
        <v>0</v>
      </c>
      <c r="BL287" s="55"/>
      <c r="BM287" s="55"/>
      <c r="BN287" s="21">
        <f t="shared" si="433"/>
        <v>0</v>
      </c>
      <c r="BO287" s="55"/>
      <c r="BP287" s="55"/>
      <c r="BQ287" s="21">
        <f t="shared" si="434"/>
        <v>0</v>
      </c>
      <c r="BR287" s="55"/>
      <c r="BS287" s="21">
        <f t="shared" si="385"/>
        <v>14.014145666666668</v>
      </c>
      <c r="BT287" s="56">
        <v>5.5449999999999999</v>
      </c>
      <c r="BU287" s="56">
        <v>1.47</v>
      </c>
      <c r="BV287" s="21">
        <f t="shared" si="418"/>
        <v>4.0755749999999997</v>
      </c>
      <c r="BW287" s="77">
        <f t="shared" si="419"/>
        <v>5.5449999999999999</v>
      </c>
      <c r="BX287" s="55"/>
      <c r="BY287" s="21">
        <f t="shared" si="435"/>
        <v>0</v>
      </c>
      <c r="BZ287" s="55">
        <v>5.1429999999999998</v>
      </c>
      <c r="CA287" s="55">
        <v>-0.10199999999999999</v>
      </c>
      <c r="CB287" s="21">
        <f t="shared" si="436"/>
        <v>-0.34972399999999998</v>
      </c>
      <c r="CC287" s="54">
        <v>1.6020000000000001</v>
      </c>
      <c r="CD287" s="54">
        <v>4.4999999999999998E-2</v>
      </c>
      <c r="CE287" s="21">
        <f t="shared" si="437"/>
        <v>4.8059999999999999E-2</v>
      </c>
      <c r="CF287" s="21"/>
      <c r="CG287" s="21"/>
      <c r="CH287" s="21">
        <f t="shared" si="396"/>
        <v>0</v>
      </c>
      <c r="CI287" s="25">
        <f t="shared" si="406"/>
        <v>3.7739109999999996</v>
      </c>
      <c r="CJ287" s="54">
        <v>0.36599999999999999</v>
      </c>
      <c r="CK287" s="21">
        <f t="shared" si="386"/>
        <v>1.464</v>
      </c>
      <c r="CL287" s="55">
        <v>28</v>
      </c>
      <c r="CM287" s="55"/>
      <c r="CN287" s="60"/>
      <c r="CO287" s="55" t="s">
        <v>162</v>
      </c>
      <c r="CP287" s="55"/>
      <c r="CQ287" s="55"/>
      <c r="CR287" s="55"/>
      <c r="CS287" s="55"/>
      <c r="CT287" s="55"/>
      <c r="CU287" s="55"/>
      <c r="CV287" s="55"/>
      <c r="CW287" s="55"/>
      <c r="CX287" s="55"/>
      <c r="CY287" s="21">
        <f t="shared" si="438"/>
        <v>0</v>
      </c>
      <c r="CZ287" s="56"/>
      <c r="DA287" s="56"/>
      <c r="DB287" s="56"/>
      <c r="DC287" s="56"/>
      <c r="DD287" s="61">
        <f t="shared" si="398"/>
        <v>0</v>
      </c>
      <c r="DE287" s="21">
        <f t="shared" si="399"/>
        <v>0</v>
      </c>
      <c r="DF287" s="55"/>
      <c r="DG287" s="55"/>
      <c r="DH287" s="55"/>
      <c r="DI287" s="55"/>
      <c r="DJ287" s="104"/>
      <c r="DK287" s="53"/>
      <c r="DM287" s="58">
        <f t="shared" si="369"/>
        <v>732.06681367234194</v>
      </c>
      <c r="DN287" s="58">
        <f t="shared" si="447"/>
        <v>746.25</v>
      </c>
      <c r="DO287" s="21">
        <f t="shared" si="448"/>
        <v>1.0193741692189398</v>
      </c>
      <c r="DP287" s="62">
        <f t="shared" si="422"/>
        <v>1</v>
      </c>
      <c r="DQ287" s="7">
        <v>0</v>
      </c>
      <c r="DR287" s="107">
        <f t="shared" si="404"/>
        <v>0</v>
      </c>
    </row>
    <row r="288" spans="1:122" ht="12.75" customHeight="1" x14ac:dyDescent="0.2">
      <c r="A288" s="53" t="s">
        <v>472</v>
      </c>
      <c r="B288" s="57">
        <v>2</v>
      </c>
      <c r="C288" s="92">
        <f t="shared" si="388"/>
        <v>110.60487664284113</v>
      </c>
      <c r="D288" s="92">
        <f t="shared" si="389"/>
        <v>104.4538167097202</v>
      </c>
      <c r="E288" s="92">
        <f>VLOOKUP(A288,[3]TRTOTAL!$A$7:$D$313,3,FALSE)</f>
        <v>110.60487664284113</v>
      </c>
      <c r="F288" s="92">
        <f>VLOOKUP(A288,[3]TRTOTAL!$A$7:$D$313,4,FALSE)</f>
        <v>104.4538167097202</v>
      </c>
      <c r="G288" s="92">
        <f t="shared" si="400"/>
        <v>0</v>
      </c>
      <c r="H288" s="92">
        <f t="shared" si="401"/>
        <v>0</v>
      </c>
      <c r="I288" s="54">
        <v>5.45</v>
      </c>
      <c r="J288" s="56">
        <v>5.45</v>
      </c>
      <c r="K288" s="54">
        <v>2.4500000000000002</v>
      </c>
      <c r="L288" s="57">
        <v>2</v>
      </c>
      <c r="M288" s="57">
        <v>156</v>
      </c>
      <c r="N288" s="57"/>
      <c r="O288" s="87"/>
      <c r="P288" s="21">
        <f t="shared" si="387"/>
        <v>13.744991666666666</v>
      </c>
      <c r="Q288" s="24">
        <f t="shared" si="439"/>
        <v>8.59</v>
      </c>
      <c r="R288" s="21">
        <f t="shared" si="423"/>
        <v>3.2020999999999997</v>
      </c>
      <c r="S288" s="87">
        <v>9</v>
      </c>
      <c r="T288" s="21">
        <f t="shared" si="440"/>
        <v>5.0195999999999996</v>
      </c>
      <c r="U288"/>
      <c r="V288" s="24">
        <f t="shared" si="441"/>
        <v>1.885</v>
      </c>
      <c r="W288" s="24">
        <f t="shared" si="442"/>
        <v>2.0525000000000002</v>
      </c>
      <c r="X288" s="24">
        <f t="shared" si="443"/>
        <v>3.2627075603215028</v>
      </c>
      <c r="Y288" s="25">
        <f t="shared" si="403"/>
        <v>1</v>
      </c>
      <c r="Z288" s="24">
        <f t="shared" si="390"/>
        <v>13.130846618421185</v>
      </c>
      <c r="AA288" s="21">
        <f t="shared" si="444"/>
        <v>2.2612103664995411</v>
      </c>
      <c r="AB288" s="24">
        <f t="shared" si="391"/>
        <v>2.9448940690433503</v>
      </c>
      <c r="AC288" s="24">
        <f t="shared" si="407"/>
        <v>18.842904458488899</v>
      </c>
      <c r="AD288" s="58">
        <f t="shared" si="445"/>
        <v>306</v>
      </c>
      <c r="AE288" s="58">
        <f t="shared" si="446"/>
        <v>312</v>
      </c>
      <c r="AF288" s="21">
        <f t="shared" si="392"/>
        <v>3.15</v>
      </c>
      <c r="AG288" s="77">
        <f t="shared" si="393"/>
        <v>0</v>
      </c>
      <c r="AH288" s="114">
        <f t="shared" si="402"/>
        <v>1</v>
      </c>
      <c r="AI288" s="59">
        <f t="shared" si="394"/>
        <v>110.60487664284113</v>
      </c>
      <c r="AJ288" s="59">
        <f t="shared" si="395"/>
        <v>104.4538167097202</v>
      </c>
      <c r="AK288" s="56">
        <v>8.59</v>
      </c>
      <c r="AL288" s="55">
        <v>1.885</v>
      </c>
      <c r="AM288" s="21">
        <f t="shared" si="424"/>
        <v>8.096074999999999</v>
      </c>
      <c r="AN288" s="56">
        <v>8.59</v>
      </c>
      <c r="AO288" s="56">
        <v>0.06</v>
      </c>
      <c r="AP288" s="21">
        <f t="shared" si="425"/>
        <v>0.34359999999999996</v>
      </c>
      <c r="AQ288" s="56"/>
      <c r="AR288" s="56"/>
      <c r="AS288" s="21">
        <f t="shared" si="426"/>
        <v>0</v>
      </c>
      <c r="AT288" s="56">
        <v>8.58</v>
      </c>
      <c r="AU288" s="56">
        <v>0.63</v>
      </c>
      <c r="AV288" s="21">
        <f t="shared" si="427"/>
        <v>2.7027000000000001</v>
      </c>
      <c r="AW288" s="56">
        <v>1</v>
      </c>
      <c r="AX288" s="56">
        <v>0.08</v>
      </c>
      <c r="AY288" s="21">
        <f t="shared" si="428"/>
        <v>0.04</v>
      </c>
      <c r="AZ288" s="56">
        <v>6.85</v>
      </c>
      <c r="BA288" s="56">
        <v>0.20499999999999999</v>
      </c>
      <c r="BB288" s="21">
        <f t="shared" si="429"/>
        <v>0.93616666666666648</v>
      </c>
      <c r="BC288" s="56"/>
      <c r="BD288" s="56"/>
      <c r="BE288" s="21">
        <f t="shared" si="430"/>
        <v>0</v>
      </c>
      <c r="BF288" s="56">
        <v>1.83</v>
      </c>
      <c r="BG288" s="56">
        <v>0.13</v>
      </c>
      <c r="BH288" s="21">
        <f t="shared" si="431"/>
        <v>0.11895000000000001</v>
      </c>
      <c r="BI288" s="56"/>
      <c r="BJ288" s="56"/>
      <c r="BK288" s="21">
        <f t="shared" si="432"/>
        <v>0</v>
      </c>
      <c r="BL288" s="56"/>
      <c r="BM288" s="56"/>
      <c r="BN288" s="21">
        <f t="shared" si="433"/>
        <v>0</v>
      </c>
      <c r="BO288" s="56"/>
      <c r="BP288" s="56"/>
      <c r="BQ288" s="21">
        <f t="shared" si="434"/>
        <v>0</v>
      </c>
      <c r="BR288" s="56"/>
      <c r="BS288" s="21">
        <f t="shared" si="385"/>
        <v>12.237491666666665</v>
      </c>
      <c r="BT288" s="56">
        <v>5.34</v>
      </c>
      <c r="BU288" s="56">
        <v>1.19</v>
      </c>
      <c r="BV288" s="21">
        <f t="shared" si="418"/>
        <v>3.1772999999999998</v>
      </c>
      <c r="BW288" s="77">
        <f t="shared" si="419"/>
        <v>5.34</v>
      </c>
      <c r="BX288" s="55"/>
      <c r="BY288" s="21">
        <f t="shared" si="435"/>
        <v>0</v>
      </c>
      <c r="BZ288" s="56">
        <v>1.24</v>
      </c>
      <c r="CA288" s="56">
        <v>0.03</v>
      </c>
      <c r="CB288" s="21">
        <f t="shared" si="436"/>
        <v>2.4799999999999999E-2</v>
      </c>
      <c r="CC288" s="56"/>
      <c r="CD288" s="56"/>
      <c r="CE288" s="21">
        <f t="shared" si="437"/>
        <v>0</v>
      </c>
      <c r="CF288" s="21"/>
      <c r="CG288" s="21"/>
      <c r="CH288" s="21">
        <f t="shared" si="396"/>
        <v>0</v>
      </c>
      <c r="CI288" s="25">
        <f t="shared" si="406"/>
        <v>3.2020999999999997</v>
      </c>
      <c r="CJ288" s="56">
        <v>0.33500000000000002</v>
      </c>
      <c r="CK288" s="21">
        <f t="shared" si="386"/>
        <v>1.5075000000000001</v>
      </c>
      <c r="CL288" s="57"/>
      <c r="CM288" s="57"/>
      <c r="CN288" s="57"/>
      <c r="CO288" s="57"/>
      <c r="CP288" s="57"/>
      <c r="CQ288" s="57"/>
      <c r="CR288" s="57"/>
      <c r="CS288" s="57"/>
      <c r="CT288" s="57"/>
      <c r="CU288" s="57"/>
      <c r="CV288" s="57"/>
      <c r="CW288" s="57"/>
      <c r="CX288" s="57"/>
      <c r="CY288" s="58">
        <f t="shared" si="438"/>
        <v>0</v>
      </c>
      <c r="CZ288" s="56"/>
      <c r="DA288" s="56"/>
      <c r="DB288" s="56"/>
      <c r="DC288" s="56"/>
      <c r="DD288" s="61">
        <f t="shared" si="398"/>
        <v>0</v>
      </c>
      <c r="DE288" s="21">
        <f t="shared" si="399"/>
        <v>0</v>
      </c>
      <c r="DF288" s="55"/>
      <c r="DG288" s="56"/>
      <c r="DH288" s="56"/>
      <c r="DI288" s="55"/>
      <c r="DJ288" s="104"/>
      <c r="DK288" s="56"/>
      <c r="DM288" s="58">
        <f t="shared" si="369"/>
        <v>697.11672606085324</v>
      </c>
      <c r="DN288" s="58">
        <f t="shared" si="447"/>
        <v>708.6</v>
      </c>
      <c r="DO288" s="21">
        <f t="shared" si="448"/>
        <v>1.016472526780464</v>
      </c>
      <c r="DP288" s="62">
        <f t="shared" si="422"/>
        <v>1</v>
      </c>
      <c r="DQ288" s="7" t="s">
        <v>130</v>
      </c>
      <c r="DR288" s="107">
        <f t="shared" si="404"/>
        <v>0</v>
      </c>
    </row>
    <row r="289" spans="1:1033" ht="12.75" customHeight="1" x14ac:dyDescent="0.2">
      <c r="A289" s="53" t="s">
        <v>473</v>
      </c>
      <c r="B289" s="54">
        <v>2</v>
      </c>
      <c r="C289" s="92">
        <f t="shared" si="388"/>
        <v>102.22149970840225</v>
      </c>
      <c r="D289" s="92">
        <f t="shared" si="389"/>
        <v>97.332274994404258</v>
      </c>
      <c r="E289" s="92">
        <f>VLOOKUP(A289,[3]TRTOTAL!$A$7:$D$313,3,FALSE)</f>
        <v>102.22149970840225</v>
      </c>
      <c r="F289" s="92">
        <f>VLOOKUP(A289,[3]TRTOTAL!$A$7:$D$313,4,FALSE)</f>
        <v>97.332274994404258</v>
      </c>
      <c r="G289" s="92">
        <f t="shared" si="400"/>
        <v>0</v>
      </c>
      <c r="H289" s="92">
        <f t="shared" si="401"/>
        <v>0</v>
      </c>
      <c r="I289" s="54">
        <v>5.5</v>
      </c>
      <c r="J289" s="56">
        <v>5.5</v>
      </c>
      <c r="K289" s="54">
        <v>2.5</v>
      </c>
      <c r="L289" s="57">
        <v>2</v>
      </c>
      <c r="M289" s="57"/>
      <c r="N289" s="57">
        <v>130</v>
      </c>
      <c r="O289" s="87"/>
      <c r="P289" s="24">
        <f t="shared" si="387"/>
        <v>20</v>
      </c>
      <c r="Q289" s="24">
        <f t="shared" si="439"/>
        <v>10.3</v>
      </c>
      <c r="R289" s="24">
        <f t="shared" si="423"/>
        <v>0</v>
      </c>
      <c r="S289" s="87">
        <v>10.5</v>
      </c>
      <c r="T289" s="21">
        <f t="shared" si="440"/>
        <v>0</v>
      </c>
      <c r="U289" s="21">
        <v>2.145</v>
      </c>
      <c r="V289" s="24">
        <f t="shared" si="441"/>
        <v>2.145</v>
      </c>
      <c r="W289" s="24">
        <f t="shared" si="442"/>
        <v>2.3050000000000002</v>
      </c>
      <c r="X289" s="24">
        <f t="shared" si="443"/>
        <v>3.7643338775932729</v>
      </c>
      <c r="Y289" s="25">
        <f t="shared" si="403"/>
        <v>1</v>
      </c>
      <c r="Z289" s="24">
        <f t="shared" si="390"/>
        <v>19.943952871040239</v>
      </c>
      <c r="AA289" s="21">
        <f t="shared" si="444"/>
        <v>0</v>
      </c>
      <c r="AB289" s="24">
        <f t="shared" si="391"/>
        <v>0</v>
      </c>
      <c r="AC289" s="24">
        <f t="shared" si="407"/>
        <v>22.943952871040239</v>
      </c>
      <c r="AD289" s="58">
        <f t="shared" si="445"/>
        <v>274</v>
      </c>
      <c r="AE289" s="58">
        <f t="shared" si="446"/>
        <v>280</v>
      </c>
      <c r="AF289" s="21">
        <f t="shared" si="392"/>
        <v>3</v>
      </c>
      <c r="AG289" s="77">
        <f t="shared" si="393"/>
        <v>0</v>
      </c>
      <c r="AH289" s="114">
        <f t="shared" si="402"/>
        <v>1</v>
      </c>
      <c r="AI289" s="59">
        <f t="shared" si="394"/>
        <v>97.619772232985767</v>
      </c>
      <c r="AJ289" s="59">
        <f t="shared" si="395"/>
        <v>92.950646810859553</v>
      </c>
      <c r="AK289" s="55"/>
      <c r="AL289" s="55"/>
      <c r="AM289" s="21">
        <f t="shared" si="424"/>
        <v>0</v>
      </c>
      <c r="AN289" s="54">
        <v>10.3</v>
      </c>
      <c r="AO289" s="55"/>
      <c r="AP289" s="21">
        <f t="shared" si="425"/>
        <v>0</v>
      </c>
      <c r="AQ289" s="55"/>
      <c r="AR289" s="55"/>
      <c r="AS289" s="21">
        <f t="shared" si="426"/>
        <v>0</v>
      </c>
      <c r="AT289" s="54"/>
      <c r="AU289" s="54"/>
      <c r="AV289" s="21">
        <f t="shared" si="427"/>
        <v>0</v>
      </c>
      <c r="AW289" s="54"/>
      <c r="AX289" s="54"/>
      <c r="AY289" s="21">
        <f t="shared" si="428"/>
        <v>0</v>
      </c>
      <c r="AZ289" s="54"/>
      <c r="BA289" s="54"/>
      <c r="BB289" s="21">
        <f t="shared" si="429"/>
        <v>0</v>
      </c>
      <c r="BC289" s="54"/>
      <c r="BD289" s="54"/>
      <c r="BE289" s="21">
        <f t="shared" si="430"/>
        <v>0</v>
      </c>
      <c r="BF289" s="55"/>
      <c r="BG289" s="55"/>
      <c r="BH289" s="21">
        <f t="shared" si="431"/>
        <v>0</v>
      </c>
      <c r="BI289" s="55"/>
      <c r="BJ289" s="55"/>
      <c r="BK289" s="21">
        <f t="shared" si="432"/>
        <v>0</v>
      </c>
      <c r="BL289" s="55"/>
      <c r="BM289" s="55"/>
      <c r="BN289" s="21">
        <f t="shared" si="433"/>
        <v>0</v>
      </c>
      <c r="BO289" s="55"/>
      <c r="BP289" s="55"/>
      <c r="BQ289" s="21">
        <f t="shared" si="434"/>
        <v>0</v>
      </c>
      <c r="BR289" s="55"/>
      <c r="BS289" s="21">
        <f t="shared" ref="BS289:BS295" si="449">AM289+AP289+AS289+AV289+AY289+BB289+BE289+BH289+BK289+BN289+BQ289</f>
        <v>0</v>
      </c>
      <c r="BT289" s="56">
        <v>0</v>
      </c>
      <c r="BU289" s="56"/>
      <c r="BV289" s="21">
        <f t="shared" si="418"/>
        <v>0</v>
      </c>
      <c r="BW289" s="77">
        <f t="shared" si="419"/>
        <v>0</v>
      </c>
      <c r="BX289" s="55"/>
      <c r="BY289" s="21">
        <f t="shared" si="435"/>
        <v>0</v>
      </c>
      <c r="BZ289" s="55"/>
      <c r="CA289" s="55"/>
      <c r="CB289" s="21">
        <f t="shared" si="436"/>
        <v>0</v>
      </c>
      <c r="CC289" s="54"/>
      <c r="CD289" s="54"/>
      <c r="CE289" s="21">
        <f t="shared" si="437"/>
        <v>0</v>
      </c>
      <c r="CF289" s="21"/>
      <c r="CG289" s="21"/>
      <c r="CH289" s="21">
        <f t="shared" si="396"/>
        <v>0</v>
      </c>
      <c r="CI289" s="25">
        <f t="shared" si="406"/>
        <v>0</v>
      </c>
      <c r="CJ289" s="54"/>
      <c r="CK289" s="21">
        <f t="shared" ref="CK289:CK295" si="450">MastLength*circMast*0.5</f>
        <v>0</v>
      </c>
      <c r="CL289" s="55"/>
      <c r="CM289" s="55"/>
      <c r="CN289" s="60"/>
      <c r="CO289" s="55"/>
      <c r="CP289" s="55"/>
      <c r="CQ289" s="55"/>
      <c r="CR289" s="55"/>
      <c r="CS289" s="55"/>
      <c r="CT289" s="55"/>
      <c r="CU289" s="55"/>
      <c r="CV289" s="55"/>
      <c r="CW289" s="55"/>
      <c r="CX289" s="55"/>
      <c r="CY289" s="21">
        <f t="shared" si="438"/>
        <v>0</v>
      </c>
      <c r="CZ289" s="56"/>
      <c r="DA289" s="56"/>
      <c r="DB289" s="56"/>
      <c r="DC289" s="56"/>
      <c r="DD289" s="61">
        <f t="shared" si="398"/>
        <v>0</v>
      </c>
      <c r="DE289" s="21">
        <f t="shared" si="399"/>
        <v>20</v>
      </c>
      <c r="DF289" s="55">
        <v>20</v>
      </c>
      <c r="DG289" s="55"/>
      <c r="DH289" s="55"/>
      <c r="DI289" s="55">
        <v>20</v>
      </c>
      <c r="DJ289" s="104"/>
      <c r="DK289" s="53" t="s">
        <v>129</v>
      </c>
      <c r="DM289" s="58">
        <f t="shared" si="369"/>
        <v>1033.6359935999999</v>
      </c>
      <c r="DN289" s="58">
        <f t="shared" si="447"/>
        <v>680</v>
      </c>
      <c r="DO289" s="21">
        <f t="shared" si="448"/>
        <v>0.65787182742317385</v>
      </c>
      <c r="DP289" s="62">
        <f t="shared" si="422"/>
        <v>1.0471392974000564</v>
      </c>
      <c r="DQ289" s="7" t="s">
        <v>130</v>
      </c>
      <c r="DR289" s="107">
        <f t="shared" si="404"/>
        <v>0</v>
      </c>
    </row>
    <row r="290" spans="1:1033" ht="12.75" customHeight="1" x14ac:dyDescent="0.2">
      <c r="A290" s="53" t="s">
        <v>474</v>
      </c>
      <c r="B290" s="54">
        <v>2</v>
      </c>
      <c r="C290" s="92">
        <f t="shared" si="388"/>
        <v>102.30599597937959</v>
      </c>
      <c r="D290" s="92">
        <f t="shared" si="389"/>
        <v>96.814737133145314</v>
      </c>
      <c r="E290" s="92">
        <f>VLOOKUP(A290,[3]TRTOTAL!$A$7:$D$313,3,FALSE)</f>
        <v>102.30599597937959</v>
      </c>
      <c r="F290" s="92">
        <f>VLOOKUP(A290,[3]TRTOTAL!$A$7:$D$313,4,FALSE)</f>
        <v>96.814737133145314</v>
      </c>
      <c r="G290" s="92">
        <f t="shared" si="400"/>
        <v>0</v>
      </c>
      <c r="H290" s="92">
        <f t="shared" si="401"/>
        <v>0</v>
      </c>
      <c r="I290" s="54">
        <v>6.1</v>
      </c>
      <c r="J290" s="56">
        <v>6.09</v>
      </c>
      <c r="K290" s="54">
        <v>2.6</v>
      </c>
      <c r="L290" s="57">
        <v>2</v>
      </c>
      <c r="M290" s="57">
        <v>163</v>
      </c>
      <c r="N290" s="57"/>
      <c r="O290" s="87"/>
      <c r="P290" s="24">
        <f t="shared" si="387"/>
        <v>17.917783333333336</v>
      </c>
      <c r="Q290" s="24">
        <f t="shared" si="439"/>
        <v>9.39</v>
      </c>
      <c r="R290" s="24">
        <f t="shared" si="423"/>
        <v>4.1786500000000002</v>
      </c>
      <c r="S290" s="87">
        <v>9.8000000000000007</v>
      </c>
      <c r="T290" s="21">
        <f t="shared" si="440"/>
        <v>5.7622</v>
      </c>
      <c r="U290"/>
      <c r="V290" s="24">
        <f t="shared" si="441"/>
        <v>2.4700000000000002</v>
      </c>
      <c r="W290" s="24">
        <f t="shared" si="442"/>
        <v>2.645</v>
      </c>
      <c r="X290" s="24">
        <f t="shared" si="443"/>
        <v>2.5611376936665229</v>
      </c>
      <c r="Y290" s="25">
        <f t="shared" si="403"/>
        <v>1</v>
      </c>
      <c r="Z290" s="24">
        <f t="shared" si="390"/>
        <v>15.918016911381788</v>
      </c>
      <c r="AA290" s="21">
        <f t="shared" si="444"/>
        <v>2.1018308938182186</v>
      </c>
      <c r="AB290" s="24">
        <f t="shared" si="391"/>
        <v>3.7596535290164184</v>
      </c>
      <c r="AC290" s="24">
        <f t="shared" si="407"/>
        <v>22.938915481626072</v>
      </c>
      <c r="AD290" s="58">
        <f t="shared" si="445"/>
        <v>313</v>
      </c>
      <c r="AE290" s="58">
        <f t="shared" si="446"/>
        <v>319</v>
      </c>
      <c r="AF290" s="21">
        <f t="shared" si="392"/>
        <v>3.75</v>
      </c>
      <c r="AG290" s="77">
        <f t="shared" si="393"/>
        <v>0</v>
      </c>
      <c r="AH290" s="114">
        <f t="shared" si="402"/>
        <v>1</v>
      </c>
      <c r="AI290" s="59">
        <f t="shared" si="394"/>
        <v>99.398403378928975</v>
      </c>
      <c r="AJ290" s="59">
        <f t="shared" si="395"/>
        <v>94.063209125347583</v>
      </c>
      <c r="AK290" s="55">
        <v>9.39</v>
      </c>
      <c r="AL290" s="55">
        <v>2.4700000000000002</v>
      </c>
      <c r="AM290" s="21">
        <f t="shared" si="424"/>
        <v>11.596650000000002</v>
      </c>
      <c r="AN290" s="54">
        <v>9.39</v>
      </c>
      <c r="AO290" s="55">
        <v>0.14000000000000001</v>
      </c>
      <c r="AP290" s="21">
        <f t="shared" si="425"/>
        <v>0.87640000000000018</v>
      </c>
      <c r="AQ290" s="55">
        <v>2.58</v>
      </c>
      <c r="AR290" s="55"/>
      <c r="AS290" s="21">
        <f t="shared" si="426"/>
        <v>0</v>
      </c>
      <c r="AT290" s="54">
        <v>9</v>
      </c>
      <c r="AU290" s="54">
        <v>0.62</v>
      </c>
      <c r="AV290" s="21">
        <f t="shared" si="427"/>
        <v>2.79</v>
      </c>
      <c r="AW290" s="54"/>
      <c r="AX290" s="54"/>
      <c r="AY290" s="21">
        <f t="shared" si="428"/>
        <v>0</v>
      </c>
      <c r="AZ290" s="54">
        <v>8.81</v>
      </c>
      <c r="BA290" s="54">
        <v>0.16</v>
      </c>
      <c r="BB290" s="21">
        <f t="shared" si="429"/>
        <v>0.93973333333333342</v>
      </c>
      <c r="BC290" s="54"/>
      <c r="BD290" s="54"/>
      <c r="BE290" s="21">
        <f t="shared" si="430"/>
        <v>0</v>
      </c>
      <c r="BF290" s="55"/>
      <c r="BG290" s="55"/>
      <c r="BH290" s="21">
        <f t="shared" si="431"/>
        <v>0</v>
      </c>
      <c r="BI290" s="55"/>
      <c r="BJ290" s="55"/>
      <c r="BK290" s="21">
        <f t="shared" si="432"/>
        <v>0</v>
      </c>
      <c r="BL290" s="55"/>
      <c r="BM290" s="55"/>
      <c r="BN290" s="21">
        <f t="shared" si="433"/>
        <v>0</v>
      </c>
      <c r="BO290" s="55"/>
      <c r="BP290" s="55"/>
      <c r="BQ290" s="21">
        <f t="shared" si="434"/>
        <v>0</v>
      </c>
      <c r="BR290" s="55"/>
      <c r="BS290" s="21">
        <f t="shared" si="449"/>
        <v>16.202783333333336</v>
      </c>
      <c r="BT290" s="56">
        <v>6.13</v>
      </c>
      <c r="BU290" s="56">
        <v>1.41</v>
      </c>
      <c r="BV290" s="21">
        <f t="shared" si="418"/>
        <v>4.32165</v>
      </c>
      <c r="BW290" s="77">
        <f t="shared" si="419"/>
        <v>6.13</v>
      </c>
      <c r="BX290" s="55"/>
      <c r="BY290" s="21">
        <f t="shared" si="435"/>
        <v>0</v>
      </c>
      <c r="BZ290" s="55">
        <v>5.73</v>
      </c>
      <c r="CA290" s="55">
        <v>-0.05</v>
      </c>
      <c r="CB290" s="21">
        <f t="shared" si="436"/>
        <v>-0.19100000000000003</v>
      </c>
      <c r="CC290" s="54">
        <v>1.44</v>
      </c>
      <c r="CD290" s="54">
        <v>0.05</v>
      </c>
      <c r="CE290" s="21">
        <f t="shared" si="437"/>
        <v>4.7999999999999994E-2</v>
      </c>
      <c r="CF290" s="21"/>
      <c r="CG290" s="21"/>
      <c r="CH290" s="21">
        <f t="shared" si="396"/>
        <v>0</v>
      </c>
      <c r="CI290" s="25">
        <f t="shared" si="406"/>
        <v>4.1786500000000002</v>
      </c>
      <c r="CJ290" s="54">
        <v>0.35</v>
      </c>
      <c r="CK290" s="21">
        <f t="shared" si="450"/>
        <v>1.7150000000000001</v>
      </c>
      <c r="CL290" s="55">
        <v>603</v>
      </c>
      <c r="CM290" s="55" t="s">
        <v>475</v>
      </c>
      <c r="CN290" s="60">
        <v>36314</v>
      </c>
      <c r="CO290" s="55" t="s">
        <v>288</v>
      </c>
      <c r="CP290" s="55" t="s">
        <v>138</v>
      </c>
      <c r="CQ290" s="55" t="s">
        <v>138</v>
      </c>
      <c r="CR290" s="55"/>
      <c r="CS290" s="55"/>
      <c r="CT290" s="55"/>
      <c r="CU290" s="55"/>
      <c r="CV290" s="55"/>
      <c r="CW290" s="55"/>
      <c r="CX290" s="55"/>
      <c r="CY290" s="21">
        <f t="shared" si="438"/>
        <v>0</v>
      </c>
      <c r="CZ290" s="56"/>
      <c r="DA290" s="56"/>
      <c r="DB290" s="56"/>
      <c r="DC290" s="56"/>
      <c r="DD290" s="61">
        <f t="shared" si="398"/>
        <v>0</v>
      </c>
      <c r="DE290" s="21">
        <f t="shared" si="399"/>
        <v>0</v>
      </c>
      <c r="DF290" s="55"/>
      <c r="DG290" s="55"/>
      <c r="DH290" s="55"/>
      <c r="DI290" s="55"/>
      <c r="DJ290" s="104"/>
      <c r="DK290" s="53"/>
      <c r="DM290" s="58">
        <f t="shared" si="369"/>
        <v>977.22266852118003</v>
      </c>
      <c r="DN290" s="58">
        <f t="shared" si="447"/>
        <v>751.9</v>
      </c>
      <c r="DO290" s="21">
        <f t="shared" si="448"/>
        <v>0.76942545872154366</v>
      </c>
      <c r="DP290" s="62">
        <f t="shared" si="422"/>
        <v>1.0292519044734172</v>
      </c>
      <c r="DQ290" s="7">
        <v>0</v>
      </c>
      <c r="DR290" s="107">
        <f t="shared" si="404"/>
        <v>0</v>
      </c>
    </row>
    <row r="291" spans="1:1033" ht="12.75" customHeight="1" x14ac:dyDescent="0.2">
      <c r="A291" s="53" t="s">
        <v>476</v>
      </c>
      <c r="B291" s="54">
        <v>2</v>
      </c>
      <c r="C291" s="92">
        <f t="shared" si="388"/>
        <v>102.22149970840225</v>
      </c>
      <c r="D291" s="92">
        <f t="shared" si="389"/>
        <v>97.332274994404258</v>
      </c>
      <c r="E291" s="92">
        <f>VLOOKUP(A291,[3]TRTOTAL!$A$7:$D$313,3,FALSE)</f>
        <v>102.22149970840225</v>
      </c>
      <c r="F291" s="92">
        <f>VLOOKUP(A291,[3]TRTOTAL!$A$7:$D$313,4,FALSE)</f>
        <v>97.332274994404258</v>
      </c>
      <c r="G291" s="92">
        <f t="shared" si="400"/>
        <v>0</v>
      </c>
      <c r="H291" s="92">
        <f t="shared" si="401"/>
        <v>0</v>
      </c>
      <c r="I291" s="54">
        <v>5.5</v>
      </c>
      <c r="J291" s="56">
        <v>5.5</v>
      </c>
      <c r="K291" s="54">
        <v>2.5</v>
      </c>
      <c r="L291" s="57">
        <v>2</v>
      </c>
      <c r="M291" s="57"/>
      <c r="N291" s="57">
        <v>130</v>
      </c>
      <c r="O291" s="87"/>
      <c r="P291" s="24">
        <f t="shared" si="387"/>
        <v>20</v>
      </c>
      <c r="Q291" s="24">
        <f t="shared" si="439"/>
        <v>10.3</v>
      </c>
      <c r="R291" s="24">
        <f t="shared" si="423"/>
        <v>0</v>
      </c>
      <c r="S291" s="87">
        <v>10.5</v>
      </c>
      <c r="T291" s="21">
        <f t="shared" si="440"/>
        <v>0</v>
      </c>
      <c r="U291" s="21">
        <v>2.145</v>
      </c>
      <c r="V291" s="24">
        <f t="shared" si="441"/>
        <v>2.145</v>
      </c>
      <c r="W291" s="24">
        <f t="shared" si="442"/>
        <v>2.3050000000000002</v>
      </c>
      <c r="X291" s="24">
        <f t="shared" si="443"/>
        <v>3.7643338775932729</v>
      </c>
      <c r="Y291" s="25">
        <f t="shared" si="403"/>
        <v>1</v>
      </c>
      <c r="Z291" s="24">
        <f t="shared" si="390"/>
        <v>19.943952871040239</v>
      </c>
      <c r="AA291" s="21">
        <f t="shared" si="444"/>
        <v>0</v>
      </c>
      <c r="AB291" s="24">
        <f t="shared" si="391"/>
        <v>0</v>
      </c>
      <c r="AC291" s="24">
        <f t="shared" si="407"/>
        <v>22.943952871040239</v>
      </c>
      <c r="AD291" s="58">
        <f t="shared" si="445"/>
        <v>274</v>
      </c>
      <c r="AE291" s="58">
        <f t="shared" si="446"/>
        <v>280</v>
      </c>
      <c r="AF291" s="21">
        <f t="shared" si="392"/>
        <v>3</v>
      </c>
      <c r="AG291" s="77">
        <f t="shared" si="393"/>
        <v>0</v>
      </c>
      <c r="AH291" s="114">
        <f t="shared" si="402"/>
        <v>1</v>
      </c>
      <c r="AI291" s="59">
        <f t="shared" si="394"/>
        <v>97.619772232985767</v>
      </c>
      <c r="AJ291" s="59">
        <f t="shared" si="395"/>
        <v>92.950646810859553</v>
      </c>
      <c r="AK291" s="55"/>
      <c r="AL291" s="55"/>
      <c r="AM291" s="21">
        <f t="shared" si="424"/>
        <v>0</v>
      </c>
      <c r="AN291" s="54">
        <v>10.3</v>
      </c>
      <c r="AO291" s="55"/>
      <c r="AP291" s="21">
        <f t="shared" si="425"/>
        <v>0</v>
      </c>
      <c r="AQ291" s="55"/>
      <c r="AR291" s="55"/>
      <c r="AS291" s="21">
        <f t="shared" si="426"/>
        <v>0</v>
      </c>
      <c r="AT291" s="54"/>
      <c r="AU291" s="54"/>
      <c r="AV291" s="21">
        <f t="shared" si="427"/>
        <v>0</v>
      </c>
      <c r="AW291" s="54"/>
      <c r="AX291" s="54"/>
      <c r="AY291" s="21">
        <f t="shared" si="428"/>
        <v>0</v>
      </c>
      <c r="AZ291" s="54"/>
      <c r="BA291" s="54"/>
      <c r="BB291" s="21">
        <f t="shared" si="429"/>
        <v>0</v>
      </c>
      <c r="BC291" s="54"/>
      <c r="BD291" s="54"/>
      <c r="BE291" s="21">
        <f t="shared" si="430"/>
        <v>0</v>
      </c>
      <c r="BF291" s="55"/>
      <c r="BG291" s="55"/>
      <c r="BH291" s="21">
        <f t="shared" si="431"/>
        <v>0</v>
      </c>
      <c r="BI291" s="55"/>
      <c r="BJ291" s="55"/>
      <c r="BK291" s="21">
        <f t="shared" si="432"/>
        <v>0</v>
      </c>
      <c r="BL291" s="55"/>
      <c r="BM291" s="55"/>
      <c r="BN291" s="21">
        <f t="shared" si="433"/>
        <v>0</v>
      </c>
      <c r="BO291" s="55"/>
      <c r="BP291" s="55"/>
      <c r="BQ291" s="21">
        <f t="shared" si="434"/>
        <v>0</v>
      </c>
      <c r="BR291" s="55"/>
      <c r="BS291" s="21">
        <f t="shared" si="449"/>
        <v>0</v>
      </c>
      <c r="BT291" s="56">
        <v>0</v>
      </c>
      <c r="BU291" s="56"/>
      <c r="BV291" s="21">
        <f t="shared" si="418"/>
        <v>0</v>
      </c>
      <c r="BW291" s="77">
        <f t="shared" si="419"/>
        <v>0</v>
      </c>
      <c r="BX291" s="55"/>
      <c r="BY291" s="21">
        <f t="shared" si="435"/>
        <v>0</v>
      </c>
      <c r="BZ291" s="55"/>
      <c r="CA291" s="55"/>
      <c r="CB291" s="21">
        <f t="shared" si="436"/>
        <v>0</v>
      </c>
      <c r="CC291" s="54"/>
      <c r="CD291" s="54"/>
      <c r="CE291" s="21">
        <f t="shared" si="437"/>
        <v>0</v>
      </c>
      <c r="CF291" s="21"/>
      <c r="CG291" s="21"/>
      <c r="CH291" s="21">
        <f t="shared" si="396"/>
        <v>0</v>
      </c>
      <c r="CI291" s="25">
        <f t="shared" si="406"/>
        <v>0</v>
      </c>
      <c r="CJ291" s="54"/>
      <c r="CK291" s="21">
        <f t="shared" si="450"/>
        <v>0</v>
      </c>
      <c r="CL291" s="55"/>
      <c r="CM291" s="55"/>
      <c r="CN291" s="60"/>
      <c r="CO291" s="55"/>
      <c r="CP291" s="55"/>
      <c r="CQ291" s="55"/>
      <c r="CR291" s="55"/>
      <c r="CS291" s="55"/>
      <c r="CT291" s="55"/>
      <c r="CU291" s="55"/>
      <c r="CV291" s="55"/>
      <c r="CW291" s="55"/>
      <c r="CX291" s="55"/>
      <c r="CY291" s="21">
        <f t="shared" si="438"/>
        <v>0</v>
      </c>
      <c r="CZ291" s="56"/>
      <c r="DA291" s="56"/>
      <c r="DB291" s="56"/>
      <c r="DC291" s="56"/>
      <c r="DD291" s="61">
        <f t="shared" si="398"/>
        <v>0</v>
      </c>
      <c r="DE291" s="21">
        <f t="shared" si="399"/>
        <v>20</v>
      </c>
      <c r="DF291" s="55">
        <v>20</v>
      </c>
      <c r="DG291" s="55"/>
      <c r="DH291" s="55"/>
      <c r="DI291" s="55">
        <v>20</v>
      </c>
      <c r="DJ291" s="104"/>
      <c r="DK291" s="53" t="s">
        <v>129</v>
      </c>
      <c r="DM291" s="58">
        <f t="shared" si="369"/>
        <v>1033.6359935999999</v>
      </c>
      <c r="DN291" s="58">
        <f t="shared" si="447"/>
        <v>680</v>
      </c>
      <c r="DO291" s="21">
        <f t="shared" si="448"/>
        <v>0.65787182742317385</v>
      </c>
      <c r="DP291" s="62">
        <f t="shared" si="422"/>
        <v>1.0471392974000564</v>
      </c>
      <c r="DQ291" s="7">
        <v>0</v>
      </c>
      <c r="DR291" s="107">
        <f t="shared" si="404"/>
        <v>0</v>
      </c>
    </row>
    <row r="292" spans="1:1033" ht="12.75" customHeight="1" x14ac:dyDescent="0.2">
      <c r="A292" s="53" t="s">
        <v>477</v>
      </c>
      <c r="B292" s="57">
        <v>2</v>
      </c>
      <c r="C292" s="92">
        <f t="shared" si="388"/>
        <v>104.67975206412255</v>
      </c>
      <c r="D292" s="92">
        <f t="shared" si="389"/>
        <v>100.29745510571034</v>
      </c>
      <c r="E292" s="92">
        <f>VLOOKUP(A292,[3]TRTOTAL!$A$7:$D$313,3,FALSE)</f>
        <v>104.67975206412255</v>
      </c>
      <c r="F292" s="92">
        <f>VLOOKUP(A292,[3]TRTOTAL!$A$7:$D$313,4,FALSE)</f>
        <v>100.29745510571034</v>
      </c>
      <c r="G292" s="92">
        <f t="shared" si="400"/>
        <v>0</v>
      </c>
      <c r="H292" s="92">
        <f t="shared" si="401"/>
        <v>0</v>
      </c>
      <c r="I292" s="54">
        <v>5.49</v>
      </c>
      <c r="J292" s="56">
        <v>5.49</v>
      </c>
      <c r="K292" s="54">
        <v>2.5</v>
      </c>
      <c r="L292" s="57">
        <v>2</v>
      </c>
      <c r="M292" s="57">
        <v>132</v>
      </c>
      <c r="N292" s="57"/>
      <c r="O292" s="87"/>
      <c r="P292" s="21">
        <f t="shared" si="387"/>
        <v>16.354600000000001</v>
      </c>
      <c r="Q292" s="24">
        <f t="shared" si="439"/>
        <v>8.6300000000000008</v>
      </c>
      <c r="R292" s="21">
        <f t="shared" si="423"/>
        <v>4.0407833333333327</v>
      </c>
      <c r="S292" s="87">
        <v>9</v>
      </c>
      <c r="T292" s="21">
        <f t="shared" si="440"/>
        <v>5.8937999999999997</v>
      </c>
      <c r="U292"/>
      <c r="V292" s="24">
        <f t="shared" si="441"/>
        <v>2.36</v>
      </c>
      <c r="W292" s="24">
        <f t="shared" si="442"/>
        <v>2.54</v>
      </c>
      <c r="X292" s="24">
        <f t="shared" si="443"/>
        <v>2.5349680699361401</v>
      </c>
      <c r="Y292" s="25">
        <f t="shared" si="403"/>
        <v>1</v>
      </c>
      <c r="Z292" s="24">
        <f t="shared" si="390"/>
        <v>14.484599030384882</v>
      </c>
      <c r="AA292" s="21">
        <f t="shared" si="444"/>
        <v>2.217165066300868</v>
      </c>
      <c r="AB292" s="24">
        <f t="shared" si="391"/>
        <v>3.6943451599106876</v>
      </c>
      <c r="AC292" s="24">
        <f t="shared" si="407"/>
        <v>20.579251819507178</v>
      </c>
      <c r="AD292" s="58">
        <f t="shared" si="445"/>
        <v>282</v>
      </c>
      <c r="AE292" s="58">
        <f t="shared" si="446"/>
        <v>288</v>
      </c>
      <c r="AF292" s="21">
        <f t="shared" si="392"/>
        <v>2.8805724999999995</v>
      </c>
      <c r="AG292" s="77">
        <f t="shared" si="393"/>
        <v>0</v>
      </c>
      <c r="AH292" s="114">
        <f t="shared" si="402"/>
        <v>1</v>
      </c>
      <c r="AI292" s="59">
        <f t="shared" si="394"/>
        <v>102.31373851989005</v>
      </c>
      <c r="AJ292" s="59">
        <f t="shared" si="395"/>
        <v>98.030491986741552</v>
      </c>
      <c r="AK292" s="56">
        <v>8.6300000000000008</v>
      </c>
      <c r="AL292" s="55">
        <v>2.36</v>
      </c>
      <c r="AM292" s="21">
        <f t="shared" si="424"/>
        <v>10.183400000000001</v>
      </c>
      <c r="AN292" s="56">
        <v>8.6300000000000008</v>
      </c>
      <c r="AO292" s="56">
        <v>0.12</v>
      </c>
      <c r="AP292" s="21">
        <f t="shared" si="425"/>
        <v>0.69040000000000001</v>
      </c>
      <c r="AQ292" s="56"/>
      <c r="AR292" s="56"/>
      <c r="AS292" s="21">
        <f t="shared" si="426"/>
        <v>0</v>
      </c>
      <c r="AT292" s="56">
        <v>8.36</v>
      </c>
      <c r="AU292" s="56">
        <v>0.65</v>
      </c>
      <c r="AV292" s="21">
        <f t="shared" si="427"/>
        <v>2.7170000000000001</v>
      </c>
      <c r="AW292" s="56"/>
      <c r="AX292" s="56"/>
      <c r="AY292" s="21">
        <f t="shared" si="428"/>
        <v>0</v>
      </c>
      <c r="AZ292" s="56">
        <v>8.17</v>
      </c>
      <c r="BA292" s="56">
        <v>0.21</v>
      </c>
      <c r="BB292" s="21">
        <f t="shared" si="429"/>
        <v>1.1437999999999999</v>
      </c>
      <c r="BC292" s="56"/>
      <c r="BD292" s="56"/>
      <c r="BE292" s="21">
        <f t="shared" si="430"/>
        <v>0</v>
      </c>
      <c r="BF292" s="56"/>
      <c r="BG292" s="56"/>
      <c r="BH292" s="21">
        <f t="shared" si="431"/>
        <v>0</v>
      </c>
      <c r="BI292" s="56"/>
      <c r="BJ292" s="56"/>
      <c r="BK292" s="21">
        <f t="shared" si="432"/>
        <v>0</v>
      </c>
      <c r="BL292" s="56"/>
      <c r="BM292" s="56"/>
      <c r="BN292" s="21">
        <f t="shared" si="433"/>
        <v>0</v>
      </c>
      <c r="BO292" s="56"/>
      <c r="BP292" s="56"/>
      <c r="BQ292" s="21">
        <f t="shared" si="434"/>
        <v>0</v>
      </c>
      <c r="BR292" s="56"/>
      <c r="BS292" s="21">
        <f t="shared" si="449"/>
        <v>14.734600000000002</v>
      </c>
      <c r="BT292" s="56">
        <v>6.27</v>
      </c>
      <c r="BU292" s="56">
        <v>1.35</v>
      </c>
      <c r="BV292" s="21">
        <f t="shared" si="418"/>
        <v>4.2322499999999996</v>
      </c>
      <c r="BW292" s="77">
        <f t="shared" si="419"/>
        <v>6.27</v>
      </c>
      <c r="BX292" s="55">
        <v>0.04</v>
      </c>
      <c r="BY292" s="21">
        <f t="shared" si="435"/>
        <v>0.16719999999999999</v>
      </c>
      <c r="BZ292" s="56">
        <v>5.9</v>
      </c>
      <c r="CA292" s="56">
        <v>-0.1</v>
      </c>
      <c r="CB292" s="21">
        <f t="shared" si="436"/>
        <v>-0.39333333333333337</v>
      </c>
      <c r="CC292" s="56">
        <v>1.3</v>
      </c>
      <c r="CD292" s="56">
        <v>0.04</v>
      </c>
      <c r="CE292" s="21">
        <f t="shared" si="437"/>
        <v>3.4666666666666672E-2</v>
      </c>
      <c r="CF292" s="21"/>
      <c r="CG292" s="21"/>
      <c r="CH292" s="21">
        <f t="shared" si="396"/>
        <v>0</v>
      </c>
      <c r="CI292" s="25">
        <f t="shared" si="406"/>
        <v>4.0407833333333327</v>
      </c>
      <c r="CJ292" s="56">
        <v>0.36</v>
      </c>
      <c r="CK292" s="21">
        <f t="shared" si="450"/>
        <v>1.6199999999999999</v>
      </c>
      <c r="CL292" s="57">
        <v>4001</v>
      </c>
      <c r="CM292" s="57" t="s">
        <v>478</v>
      </c>
      <c r="CN292" s="57">
        <v>36700</v>
      </c>
      <c r="CO292" s="57" t="s">
        <v>164</v>
      </c>
      <c r="CP292" s="57"/>
      <c r="CQ292" s="57"/>
      <c r="CR292" s="57"/>
      <c r="CS292" s="57"/>
      <c r="CT292" s="57"/>
      <c r="CU292" s="57"/>
      <c r="CV292" s="57"/>
      <c r="CW292" s="57"/>
      <c r="CX292" s="57"/>
      <c r="CY292" s="58"/>
      <c r="CZ292" s="56">
        <v>3.49</v>
      </c>
      <c r="DA292" s="56">
        <v>8.2200000000000006</v>
      </c>
      <c r="DB292" s="56">
        <v>7.64</v>
      </c>
      <c r="DC292" s="56">
        <v>2.76</v>
      </c>
      <c r="DD292" s="61">
        <f t="shared" si="398"/>
        <v>0.79083094555873912</v>
      </c>
      <c r="DE292" s="21">
        <f t="shared" si="399"/>
        <v>19.203816666666665</v>
      </c>
      <c r="DF292" s="55"/>
      <c r="DG292" s="56"/>
      <c r="DH292" s="56"/>
      <c r="DI292" s="55"/>
      <c r="DJ292" s="104"/>
      <c r="DK292" s="56"/>
      <c r="DM292" s="58">
        <f t="shared" si="369"/>
        <v>849.39614367360161</v>
      </c>
      <c r="DN292" s="58">
        <f t="shared" si="447"/>
        <v>690</v>
      </c>
      <c r="DO292" s="21">
        <f t="shared" si="448"/>
        <v>0.81234180910661991</v>
      </c>
      <c r="DP292" s="62">
        <f t="shared" si="422"/>
        <v>1.023125081523363</v>
      </c>
      <c r="DQ292" s="7">
        <v>0</v>
      </c>
      <c r="DR292" s="107">
        <f t="shared" si="404"/>
        <v>0</v>
      </c>
    </row>
    <row r="293" spans="1:1033" ht="12.75" customHeight="1" x14ac:dyDescent="0.2">
      <c r="A293" s="53" t="s">
        <v>479</v>
      </c>
      <c r="B293" s="57">
        <v>2</v>
      </c>
      <c r="C293" s="92">
        <f t="shared" si="388"/>
        <v>95.126937994369342</v>
      </c>
      <c r="D293" s="92">
        <f t="shared" si="389"/>
        <v>91.121954852770529</v>
      </c>
      <c r="E293" s="92">
        <f>VLOOKUP(A293,[3]TRTOTAL!$A$7:$D$313,3,FALSE)</f>
        <v>95.126937994369342</v>
      </c>
      <c r="F293" s="92">
        <f>VLOOKUP(A293,[3]TRTOTAL!$A$7:$D$313,4,FALSE)</f>
        <v>91.121954852770529</v>
      </c>
      <c r="G293" s="92">
        <f t="shared" si="400"/>
        <v>0</v>
      </c>
      <c r="H293" s="92">
        <f t="shared" si="401"/>
        <v>0</v>
      </c>
      <c r="I293" s="54">
        <v>6.09</v>
      </c>
      <c r="J293" s="56">
        <v>6.09</v>
      </c>
      <c r="K293" s="54">
        <v>2.9</v>
      </c>
      <c r="L293" s="57">
        <v>2</v>
      </c>
      <c r="M293" s="57"/>
      <c r="N293" s="57">
        <v>148</v>
      </c>
      <c r="O293" s="87"/>
      <c r="P293" s="24">
        <f t="shared" si="387"/>
        <v>23</v>
      </c>
      <c r="Q293" s="24">
        <v>10.3</v>
      </c>
      <c r="R293" s="21">
        <f t="shared" si="423"/>
        <v>5</v>
      </c>
      <c r="S293" s="87">
        <v>10.7</v>
      </c>
      <c r="T293" s="21">
        <f t="shared" si="440"/>
        <v>6</v>
      </c>
      <c r="U293"/>
      <c r="V293" s="24">
        <f t="shared" si="441"/>
        <v>3.0900000000000003</v>
      </c>
      <c r="W293" s="24">
        <f t="shared" si="442"/>
        <v>3.2500000000000004</v>
      </c>
      <c r="X293" s="24">
        <f t="shared" si="443"/>
        <v>2.1775147928994074</v>
      </c>
      <c r="Y293" s="25">
        <f t="shared" si="403"/>
        <v>1</v>
      </c>
      <c r="Z293" s="24">
        <f t="shared" si="390"/>
        <v>19.462157057143983</v>
      </c>
      <c r="AA293" s="21">
        <f t="shared" si="444"/>
        <v>0</v>
      </c>
      <c r="AB293" s="24">
        <f t="shared" si="391"/>
        <v>4.5</v>
      </c>
      <c r="AC293" s="24">
        <f t="shared" si="407"/>
        <v>27.127157057143982</v>
      </c>
      <c r="AD293" s="58">
        <f t="shared" si="445"/>
        <v>292</v>
      </c>
      <c r="AE293" s="58">
        <f t="shared" si="446"/>
        <v>298</v>
      </c>
      <c r="AF293" s="21">
        <f t="shared" si="392"/>
        <v>3.75</v>
      </c>
      <c r="AG293" s="77">
        <f t="shared" si="393"/>
        <v>0</v>
      </c>
      <c r="AH293" s="114">
        <f t="shared" si="402"/>
        <v>1</v>
      </c>
      <c r="AI293" s="59">
        <f t="shared" si="394"/>
        <v>89.816480788886579</v>
      </c>
      <c r="AJ293" s="59">
        <f t="shared" si="395"/>
        <v>86.035075658212492</v>
      </c>
      <c r="AK293" s="55"/>
      <c r="AL293" s="55"/>
      <c r="AM293" s="21">
        <f t="shared" si="424"/>
        <v>0</v>
      </c>
      <c r="AN293" s="56"/>
      <c r="AO293" s="56"/>
      <c r="AP293" s="21"/>
      <c r="AQ293" s="56"/>
      <c r="AR293" s="56"/>
      <c r="AS293" s="21"/>
      <c r="AT293" s="56"/>
      <c r="AU293" s="56"/>
      <c r="AV293" s="21"/>
      <c r="AW293" s="56"/>
      <c r="AX293" s="56"/>
      <c r="AY293" s="21"/>
      <c r="AZ293" s="56"/>
      <c r="BA293" s="56"/>
      <c r="BB293" s="21"/>
      <c r="BC293" s="56"/>
      <c r="BD293" s="56"/>
      <c r="BE293" s="21"/>
      <c r="BF293" s="56"/>
      <c r="BG293" s="56"/>
      <c r="BH293" s="21"/>
      <c r="BI293" s="56"/>
      <c r="BJ293" s="56"/>
      <c r="BK293" s="21"/>
      <c r="BL293" s="56"/>
      <c r="BM293" s="56"/>
      <c r="BN293" s="21"/>
      <c r="BO293" s="56"/>
      <c r="BP293" s="56"/>
      <c r="BQ293" s="21"/>
      <c r="BR293" s="56"/>
      <c r="BS293" s="21">
        <f t="shared" si="449"/>
        <v>0</v>
      </c>
      <c r="BT293" s="56"/>
      <c r="BU293" s="56"/>
      <c r="BV293" s="21"/>
      <c r="BW293" s="77">
        <f t="shared" si="419"/>
        <v>0</v>
      </c>
      <c r="BX293" s="55"/>
      <c r="BY293" s="21"/>
      <c r="BZ293" s="56"/>
      <c r="CA293" s="56"/>
      <c r="CB293" s="21"/>
      <c r="CC293" s="56"/>
      <c r="CD293" s="56"/>
      <c r="CE293" s="21"/>
      <c r="CF293" s="21"/>
      <c r="CG293" s="21"/>
      <c r="CH293" s="21">
        <f t="shared" si="396"/>
        <v>0</v>
      </c>
      <c r="CI293" s="25">
        <f t="shared" si="406"/>
        <v>5</v>
      </c>
      <c r="CJ293" s="56"/>
      <c r="CK293" s="21">
        <f t="shared" si="450"/>
        <v>0</v>
      </c>
      <c r="CL293" s="57"/>
      <c r="CM293" s="57" t="s">
        <v>138</v>
      </c>
      <c r="CN293" s="57"/>
      <c r="CO293" s="57"/>
      <c r="CP293" s="57" t="s">
        <v>138</v>
      </c>
      <c r="CQ293" s="57" t="s">
        <v>138</v>
      </c>
      <c r="CR293" s="57"/>
      <c r="CS293" s="57"/>
      <c r="CT293" s="57"/>
      <c r="CU293" s="57"/>
      <c r="CV293" s="57"/>
      <c r="CW293" s="57"/>
      <c r="CX293" s="57"/>
      <c r="CY293" s="58">
        <f t="shared" ref="CY293:CY299" si="451">(CT293+4*CU293+2*CV293+4*CW293+CX293)*AN293/12</f>
        <v>0</v>
      </c>
      <c r="CZ293" s="56"/>
      <c r="DA293" s="56"/>
      <c r="DB293" s="56"/>
      <c r="DC293" s="56"/>
      <c r="DD293" s="61">
        <f t="shared" si="398"/>
        <v>0</v>
      </c>
      <c r="DE293" s="21">
        <f t="shared" si="399"/>
        <v>25</v>
      </c>
      <c r="DF293" s="55">
        <v>23</v>
      </c>
      <c r="DG293" s="56">
        <v>5</v>
      </c>
      <c r="DH293" s="56">
        <v>6</v>
      </c>
      <c r="DI293" s="55">
        <v>25</v>
      </c>
      <c r="DJ293" s="104"/>
      <c r="DK293" s="71" t="s">
        <v>480</v>
      </c>
      <c r="DM293" s="58">
        <f t="shared" si="369"/>
        <v>1333.26622464</v>
      </c>
      <c r="DN293" s="58">
        <f t="shared" si="447"/>
        <v>790.9</v>
      </c>
      <c r="DO293" s="21">
        <f t="shared" si="448"/>
        <v>0.59320485690211922</v>
      </c>
      <c r="DP293" s="62">
        <f t="shared" si="422"/>
        <v>1.0591256432988616</v>
      </c>
      <c r="DQ293" s="7" t="s">
        <v>130</v>
      </c>
      <c r="DR293" s="107">
        <f t="shared" si="404"/>
        <v>0</v>
      </c>
    </row>
    <row r="294" spans="1:1033" ht="12.75" customHeight="1" x14ac:dyDescent="0.2">
      <c r="A294" s="53" t="s">
        <v>481</v>
      </c>
      <c r="B294" s="54">
        <v>2</v>
      </c>
      <c r="C294" s="92">
        <f t="shared" si="388"/>
        <v>112.17737392841269</v>
      </c>
      <c r="D294" s="92">
        <f t="shared" si="389"/>
        <v>106.55997883878311</v>
      </c>
      <c r="E294" s="92">
        <f>VLOOKUP(A294,[3]TRTOTAL!$A$7:$D$313,3,FALSE)</f>
        <v>112.17737392841269</v>
      </c>
      <c r="F294" s="92">
        <f>VLOOKUP(A294,[3]TRTOTAL!$A$7:$D$313,4,FALSE)</f>
        <v>106.55997883878311</v>
      </c>
      <c r="G294" s="92">
        <f t="shared" si="400"/>
        <v>0</v>
      </c>
      <c r="H294" s="92">
        <f t="shared" si="401"/>
        <v>0</v>
      </c>
      <c r="I294" s="54">
        <v>5.48</v>
      </c>
      <c r="J294" s="56">
        <v>5.48</v>
      </c>
      <c r="K294" s="54">
        <v>2.5</v>
      </c>
      <c r="L294" s="57">
        <v>2</v>
      </c>
      <c r="M294" s="57">
        <v>169</v>
      </c>
      <c r="N294" s="57"/>
      <c r="O294" s="87" t="s">
        <v>133</v>
      </c>
      <c r="P294" s="24">
        <f t="shared" si="387"/>
        <v>15.954806666666666</v>
      </c>
      <c r="Q294" s="24">
        <f t="shared" ref="Q294:Q299" si="452">voorvlm1+voorllm2</f>
        <v>7.6219999999999999</v>
      </c>
      <c r="R294" s="24">
        <f t="shared" si="423"/>
        <v>4.0009833333333331</v>
      </c>
      <c r="S294" s="87">
        <v>8.1</v>
      </c>
      <c r="T294" s="21">
        <f t="shared" si="440"/>
        <v>4.4649999999999999</v>
      </c>
      <c r="U294"/>
      <c r="V294" s="24">
        <f t="shared" si="441"/>
        <v>2.2160000000000002</v>
      </c>
      <c r="W294" s="24">
        <f t="shared" si="442"/>
        <v>2.4060000000000001</v>
      </c>
      <c r="X294" s="24">
        <f t="shared" si="443"/>
        <v>2.7561338180364179</v>
      </c>
      <c r="Y294" s="25">
        <f t="shared" si="403"/>
        <v>1</v>
      </c>
      <c r="Z294" s="24">
        <f t="shared" si="390"/>
        <v>14.489601406665225</v>
      </c>
      <c r="AA294" s="21">
        <f t="shared" si="444"/>
        <v>1.4346098222716244</v>
      </c>
      <c r="AB294" s="24">
        <f t="shared" si="391"/>
        <v>3.2101060394223659</v>
      </c>
      <c r="AC294" s="24">
        <f t="shared" si="407"/>
        <v>20.432393660962681</v>
      </c>
      <c r="AD294" s="58">
        <f t="shared" si="445"/>
        <v>319</v>
      </c>
      <c r="AE294" s="58">
        <f t="shared" si="446"/>
        <v>325</v>
      </c>
      <c r="AF294" s="21">
        <f t="shared" si="392"/>
        <v>3.15</v>
      </c>
      <c r="AG294" s="77">
        <f t="shared" si="393"/>
        <v>0</v>
      </c>
      <c r="AH294" s="114">
        <f t="shared" si="402"/>
        <v>1.04</v>
      </c>
      <c r="AI294" s="59">
        <f t="shared" si="394"/>
        <v>112.00743919731484</v>
      </c>
      <c r="AJ294" s="59">
        <f t="shared" si="395"/>
        <v>106.39855376066248</v>
      </c>
      <c r="AK294" s="55">
        <v>7.6219999999999999</v>
      </c>
      <c r="AL294" s="55">
        <v>2.2160000000000002</v>
      </c>
      <c r="AM294" s="21">
        <f t="shared" si="424"/>
        <v>8.445176</v>
      </c>
      <c r="AN294" s="54">
        <v>7.6219999999999999</v>
      </c>
      <c r="AO294" s="55">
        <v>0.13600000000000001</v>
      </c>
      <c r="AP294" s="21">
        <f t="shared" ref="AP294:AP299" si="453">AN294*AO294*2/3</f>
        <v>0.69106133333333331</v>
      </c>
      <c r="AQ294" s="55"/>
      <c r="AR294" s="55"/>
      <c r="AS294" s="21">
        <f t="shared" ref="AS294:AS299" si="454">AQ294*AR294*2/3</f>
        <v>0</v>
      </c>
      <c r="AT294" s="54">
        <v>7.5640000000000001</v>
      </c>
      <c r="AU294" s="54">
        <v>0.85399999999999998</v>
      </c>
      <c r="AV294" s="21">
        <f t="shared" ref="AV294:AV299" si="455">AT294*AU294*0.5</f>
        <v>3.2298279999999999</v>
      </c>
      <c r="AW294" s="54">
        <v>1.403</v>
      </c>
      <c r="AX294" s="54">
        <v>0.39200000000000002</v>
      </c>
      <c r="AY294" s="21">
        <f t="shared" ref="AY294:AY299" si="456">AW294*AX294*0.5</f>
        <v>0.27498800000000001</v>
      </c>
      <c r="AZ294" s="54">
        <v>6.4930000000000003</v>
      </c>
      <c r="BA294" s="54">
        <v>0.41</v>
      </c>
      <c r="BB294" s="21">
        <f t="shared" ref="BB294:BB299" si="457">AZ294*BA294*2/3</f>
        <v>1.7747533333333332</v>
      </c>
      <c r="BC294" s="54"/>
      <c r="BD294" s="54"/>
      <c r="BE294" s="21">
        <f t="shared" ref="BE294:BE299" si="458">BC294*BD294*2/3</f>
        <v>0</v>
      </c>
      <c r="BF294" s="55"/>
      <c r="BG294" s="55"/>
      <c r="BH294" s="21">
        <f t="shared" ref="BH294:BH299" si="459">BF294*BG294*0.5</f>
        <v>0</v>
      </c>
      <c r="BI294" s="55"/>
      <c r="BJ294" s="55"/>
      <c r="BK294" s="21">
        <f t="shared" ref="BK294:BK299" si="460">BI294*BJ294*2/3</f>
        <v>0</v>
      </c>
      <c r="BL294" s="55"/>
      <c r="BM294" s="55"/>
      <c r="BN294" s="21">
        <f t="shared" ref="BN294:BN299" si="461">BL294*BM294*0.5</f>
        <v>0</v>
      </c>
      <c r="BO294" s="55"/>
      <c r="BP294" s="55"/>
      <c r="BQ294" s="21">
        <f t="shared" ref="BQ294:BQ299" si="462">BO294*BP294*0.5</f>
        <v>0</v>
      </c>
      <c r="BR294" s="55"/>
      <c r="BS294" s="21">
        <f t="shared" si="449"/>
        <v>14.415806666666667</v>
      </c>
      <c r="BT294" s="56">
        <v>4.75</v>
      </c>
      <c r="BU294" s="56">
        <v>1.67</v>
      </c>
      <c r="BV294" s="21">
        <f t="shared" ref="BV294:BV299" si="463">BT294*BU294*0.5</f>
        <v>3.9662499999999996</v>
      </c>
      <c r="BW294" s="77">
        <f t="shared" si="419"/>
        <v>4.75</v>
      </c>
      <c r="BX294" s="55"/>
      <c r="BY294" s="21">
        <f t="shared" ref="BY294:BY299" si="464">BW294*BX294*2/3</f>
        <v>0</v>
      </c>
      <c r="BZ294" s="55">
        <v>4.63</v>
      </c>
      <c r="CA294" s="55">
        <v>-0.01</v>
      </c>
      <c r="CB294" s="21">
        <f t="shared" ref="CB294:CB299" si="465">BZ294*CA294*2/3</f>
        <v>-3.0866666666666667E-2</v>
      </c>
      <c r="CC294" s="54">
        <v>1.64</v>
      </c>
      <c r="CD294" s="54">
        <v>0.06</v>
      </c>
      <c r="CE294" s="21">
        <f t="shared" ref="CE294:CE299" si="466">CC294*CD294*2/3</f>
        <v>6.5599999999999992E-2</v>
      </c>
      <c r="CF294" s="21"/>
      <c r="CG294" s="21"/>
      <c r="CH294" s="21">
        <f t="shared" si="396"/>
        <v>0</v>
      </c>
      <c r="CI294" s="25">
        <f t="shared" si="406"/>
        <v>4.0009833333333331</v>
      </c>
      <c r="CJ294" s="54">
        <v>0.38</v>
      </c>
      <c r="CK294" s="21">
        <f t="shared" si="450"/>
        <v>1.5389999999999999</v>
      </c>
      <c r="CL294" s="55">
        <v>2301</v>
      </c>
      <c r="CM294" s="55"/>
      <c r="CN294" s="60"/>
      <c r="CO294" s="55"/>
      <c r="CP294" s="55"/>
      <c r="CQ294" s="55"/>
      <c r="CR294" s="55"/>
      <c r="CS294" s="55"/>
      <c r="CT294" s="55"/>
      <c r="CU294" s="55"/>
      <c r="CV294" s="55"/>
      <c r="CW294" s="55"/>
      <c r="CX294" s="55"/>
      <c r="CY294" s="21">
        <f t="shared" si="451"/>
        <v>0</v>
      </c>
      <c r="CZ294" s="56"/>
      <c r="DA294" s="56"/>
      <c r="DB294" s="56"/>
      <c r="DC294" s="56"/>
      <c r="DD294" s="61">
        <f t="shared" si="398"/>
        <v>0</v>
      </c>
      <c r="DE294" s="21">
        <f t="shared" si="399"/>
        <v>0</v>
      </c>
      <c r="DF294" s="55"/>
      <c r="DG294" s="55"/>
      <c r="DH294" s="55"/>
      <c r="DI294" s="55"/>
      <c r="DJ294" s="104"/>
      <c r="DK294" s="53"/>
      <c r="DM294" s="58">
        <f t="shared" si="369"/>
        <v>746.46726903657463</v>
      </c>
      <c r="DN294" s="58">
        <f t="shared" si="447"/>
        <v>736.25</v>
      </c>
      <c r="DO294" s="21">
        <f t="shared" si="448"/>
        <v>0.98631250228859801</v>
      </c>
      <c r="DP294" s="62">
        <f t="shared" si="422"/>
        <v>1.0015171736119999</v>
      </c>
      <c r="DQ294" s="7" t="s">
        <v>130</v>
      </c>
      <c r="DR294" s="107">
        <f t="shared" si="404"/>
        <v>0</v>
      </c>
    </row>
    <row r="295" spans="1:1033" ht="12.75" customHeight="1" x14ac:dyDescent="0.2">
      <c r="A295" s="53" t="s">
        <v>482</v>
      </c>
      <c r="B295" s="54">
        <v>2</v>
      </c>
      <c r="C295" s="92">
        <f t="shared" si="388"/>
        <v>97.177251558869216</v>
      </c>
      <c r="D295" s="92">
        <f t="shared" si="389"/>
        <v>92.729072935725952</v>
      </c>
      <c r="E295" s="92">
        <f>VLOOKUP(A295,[3]TRTOTAL!$A$7:$D$313,3,FALSE)</f>
        <v>97.177251558869216</v>
      </c>
      <c r="F295" s="92">
        <f>VLOOKUP(A295,[3]TRTOTAL!$A$7:$D$313,4,FALSE)</f>
        <v>92.729072935725952</v>
      </c>
      <c r="G295" s="92">
        <f t="shared" si="400"/>
        <v>0</v>
      </c>
      <c r="H295" s="92">
        <f t="shared" si="401"/>
        <v>0</v>
      </c>
      <c r="I295" s="54">
        <v>5.4</v>
      </c>
      <c r="J295" s="56">
        <v>5.4</v>
      </c>
      <c r="K295" s="54">
        <v>3.2</v>
      </c>
      <c r="L295" s="57">
        <v>2</v>
      </c>
      <c r="M295" s="57"/>
      <c r="N295" s="57">
        <v>114</v>
      </c>
      <c r="O295" s="21" t="s">
        <v>604</v>
      </c>
      <c r="P295" s="24">
        <f t="shared" si="387"/>
        <v>14.301</v>
      </c>
      <c r="Q295" s="24">
        <f t="shared" si="452"/>
        <v>8.51</v>
      </c>
      <c r="R295" s="24">
        <f t="shared" si="423"/>
        <v>3.4369766666666668</v>
      </c>
      <c r="S295" s="87">
        <v>9.0050000000000008</v>
      </c>
      <c r="T295" s="21">
        <f t="shared" si="440"/>
        <v>5.6963999999999997</v>
      </c>
      <c r="U295" s="21"/>
      <c r="V295" s="24">
        <f t="shared" si="441"/>
        <v>1.86</v>
      </c>
      <c r="W295" s="24">
        <f t="shared" si="442"/>
        <v>2.02</v>
      </c>
      <c r="X295" s="24">
        <f t="shared" si="443"/>
        <v>3.5048034506420938</v>
      </c>
      <c r="Y295" s="25">
        <f t="shared" si="403"/>
        <v>1</v>
      </c>
      <c r="Z295" s="24">
        <f t="shared" si="390"/>
        <v>13.958550100059561</v>
      </c>
      <c r="AA295" s="21">
        <f t="shared" si="444"/>
        <v>2.2903634596695817</v>
      </c>
      <c r="AB295" s="24">
        <f t="shared" si="391"/>
        <v>3.1730754729262296</v>
      </c>
      <c r="AC295" s="24">
        <f t="shared" si="407"/>
        <v>19.623771950338508</v>
      </c>
      <c r="AD295" s="58">
        <f t="shared" si="445"/>
        <v>258</v>
      </c>
      <c r="AE295" s="58">
        <f t="shared" si="446"/>
        <v>264</v>
      </c>
      <c r="AF295" s="21">
        <f t="shared" si="392"/>
        <v>1.90536225</v>
      </c>
      <c r="AG295" s="77">
        <f t="shared" si="393"/>
        <v>2.9046461888331279</v>
      </c>
      <c r="AH295" s="114">
        <f t="shared" si="402"/>
        <v>0.95</v>
      </c>
      <c r="AI295" s="59">
        <f t="shared" si="394"/>
        <v>97.177251558869216</v>
      </c>
      <c r="AJ295" s="59">
        <f t="shared" si="395"/>
        <v>92.729072935725952</v>
      </c>
      <c r="AK295" s="55"/>
      <c r="AL295" s="55">
        <v>1.86</v>
      </c>
      <c r="AM295" s="21">
        <f t="shared" si="424"/>
        <v>0</v>
      </c>
      <c r="AN295" s="54">
        <v>8.51</v>
      </c>
      <c r="AO295" s="55"/>
      <c r="AP295" s="21">
        <f t="shared" si="453"/>
        <v>0</v>
      </c>
      <c r="AQ295" s="55"/>
      <c r="AR295" s="55">
        <v>0</v>
      </c>
      <c r="AS295" s="21">
        <f t="shared" si="454"/>
        <v>0</v>
      </c>
      <c r="AT295" s="54"/>
      <c r="AU295" s="54"/>
      <c r="AV295" s="21">
        <f t="shared" si="455"/>
        <v>0</v>
      </c>
      <c r="AW295" s="54"/>
      <c r="AX295" s="54"/>
      <c r="AY295" s="21">
        <f t="shared" si="456"/>
        <v>0</v>
      </c>
      <c r="AZ295" s="54"/>
      <c r="BA295" s="54"/>
      <c r="BB295" s="21">
        <f t="shared" si="457"/>
        <v>0</v>
      </c>
      <c r="BC295" s="54"/>
      <c r="BD295" s="54"/>
      <c r="BE295" s="21">
        <f t="shared" si="458"/>
        <v>0</v>
      </c>
      <c r="BF295" s="55"/>
      <c r="BG295" s="55"/>
      <c r="BH295" s="21">
        <f t="shared" si="459"/>
        <v>0</v>
      </c>
      <c r="BI295" s="55"/>
      <c r="BJ295" s="55"/>
      <c r="BK295" s="21">
        <f t="shared" si="460"/>
        <v>0</v>
      </c>
      <c r="BL295" s="55">
        <v>0</v>
      </c>
      <c r="BM295" s="55">
        <v>0</v>
      </c>
      <c r="BN295" s="21">
        <f t="shared" si="461"/>
        <v>0</v>
      </c>
      <c r="BO295" s="55">
        <v>0</v>
      </c>
      <c r="BP295" s="55">
        <v>0</v>
      </c>
      <c r="BQ295" s="21">
        <f t="shared" si="462"/>
        <v>0</v>
      </c>
      <c r="BR295" s="55">
        <v>0</v>
      </c>
      <c r="BS295" s="21">
        <f t="shared" si="449"/>
        <v>0</v>
      </c>
      <c r="BT295" s="56">
        <v>6.06</v>
      </c>
      <c r="BU295" s="56">
        <v>1.2250000000000001</v>
      </c>
      <c r="BV295" s="21">
        <f t="shared" si="463"/>
        <v>3.7117499999999999</v>
      </c>
      <c r="BW295" s="77">
        <f t="shared" si="419"/>
        <v>4.42</v>
      </c>
      <c r="BX295" s="7">
        <v>0</v>
      </c>
      <c r="BY295" s="21">
        <f t="shared" si="464"/>
        <v>0</v>
      </c>
      <c r="BZ295" s="55">
        <v>5.88</v>
      </c>
      <c r="CA295" s="55">
        <v>-1.2E-2</v>
      </c>
      <c r="CB295" s="21">
        <f t="shared" si="465"/>
        <v>-4.7039999999999998E-2</v>
      </c>
      <c r="CC295" s="54">
        <v>1.27</v>
      </c>
      <c r="CD295" s="54">
        <v>7.0000000000000007E-2</v>
      </c>
      <c r="CE295" s="21">
        <f t="shared" si="466"/>
        <v>5.9266666666666669E-2</v>
      </c>
      <c r="CF295" s="21">
        <v>1.64</v>
      </c>
      <c r="CG295" s="21">
        <v>-0.35</v>
      </c>
      <c r="CH295" s="21">
        <f t="shared" si="396"/>
        <v>-0.28699999999999998</v>
      </c>
      <c r="CI295" s="25">
        <f t="shared" si="406"/>
        <v>3.4369766666666668</v>
      </c>
      <c r="CJ295" s="54"/>
      <c r="CK295" s="21">
        <f t="shared" si="450"/>
        <v>0</v>
      </c>
      <c r="CL295" s="55"/>
      <c r="CM295" s="55" t="s">
        <v>483</v>
      </c>
      <c r="CN295" s="60">
        <v>42154</v>
      </c>
      <c r="CO295" s="55" t="s">
        <v>434</v>
      </c>
      <c r="CP295" s="55">
        <v>0</v>
      </c>
      <c r="CQ295" s="55">
        <v>0</v>
      </c>
      <c r="CR295" s="55">
        <v>0</v>
      </c>
      <c r="CS295" s="55">
        <v>0</v>
      </c>
      <c r="CT295" s="55"/>
      <c r="CU295" s="55"/>
      <c r="CV295" s="55"/>
      <c r="CW295" s="55"/>
      <c r="CX295" s="55"/>
      <c r="CY295" s="21">
        <f t="shared" si="451"/>
        <v>0</v>
      </c>
      <c r="CZ295" s="56">
        <v>3.33</v>
      </c>
      <c r="DA295" s="56">
        <v>7.5</v>
      </c>
      <c r="DB295" s="56">
        <v>6.69</v>
      </c>
      <c r="DC295" s="56">
        <v>1.853</v>
      </c>
      <c r="DD295" s="61">
        <f t="shared" si="398"/>
        <v>0.55645645645645647</v>
      </c>
      <c r="DE295" s="21">
        <f t="shared" si="399"/>
        <v>12.702415</v>
      </c>
      <c r="DF295" s="55">
        <v>14.301</v>
      </c>
      <c r="DG295" s="55"/>
      <c r="DH295" s="55"/>
      <c r="DI295" s="55"/>
      <c r="DJ295" s="104"/>
      <c r="DK295" s="53" t="s">
        <v>484</v>
      </c>
      <c r="DM295" s="58">
        <f t="shared" si="369"/>
        <v>730.81791783887252</v>
      </c>
      <c r="DN295" s="58">
        <f t="shared" si="447"/>
        <v>802.8</v>
      </c>
      <c r="DO295" s="21">
        <f t="shared" si="448"/>
        <v>1.0984952344545522</v>
      </c>
      <c r="DP295" s="62">
        <f t="shared" si="422"/>
        <v>1</v>
      </c>
      <c r="DQ295" s="7">
        <v>0</v>
      </c>
      <c r="DR295" s="107">
        <f t="shared" si="404"/>
        <v>0</v>
      </c>
    </row>
    <row r="296" spans="1:1033" ht="12.75" customHeight="1" x14ac:dyDescent="0.2">
      <c r="A296" s="53" t="s">
        <v>485</v>
      </c>
      <c r="B296" s="54">
        <v>2</v>
      </c>
      <c r="C296" s="92">
        <f>AI296*PowerFactor</f>
        <v>100.13148017668134</v>
      </c>
      <c r="D296" s="92">
        <f>AJ296*PowerFactor*IF(crew=1,1.01,1)</f>
        <v>95.137386277285188</v>
      </c>
      <c r="E296" s="92">
        <f>VLOOKUP(A296,[3]TRTOTAL!$A$7:$D$313,3,FALSE)</f>
        <v>100.13148017668134</v>
      </c>
      <c r="F296" s="92">
        <f>VLOOKUP(A296,[3]TRTOTAL!$A$7:$D$313,4,FALSE)</f>
        <v>95.137386277285188</v>
      </c>
      <c r="G296" s="92">
        <f t="shared" si="400"/>
        <v>0</v>
      </c>
      <c r="H296" s="92">
        <f t="shared" si="401"/>
        <v>0</v>
      </c>
      <c r="I296" s="54">
        <v>6.08</v>
      </c>
      <c r="J296" s="56">
        <v>6.08</v>
      </c>
      <c r="K296" s="54">
        <v>3.01</v>
      </c>
      <c r="L296" s="57">
        <v>2</v>
      </c>
      <c r="M296" s="57"/>
      <c r="N296" s="57">
        <v>193</v>
      </c>
      <c r="O296" s="87"/>
      <c r="P296" s="24">
        <f>marea+areaMast+mssam+mareNoDet</f>
        <v>18.309999999999999</v>
      </c>
      <c r="Q296" s="24">
        <f t="shared" si="452"/>
        <v>8.8000000000000007</v>
      </c>
      <c r="R296" s="24">
        <f>CI296</f>
        <v>4.5</v>
      </c>
      <c r="S296" s="87">
        <v>9.1999999999999993</v>
      </c>
      <c r="T296" s="21">
        <f>IF(gs_1,gs_1*0.94,VlgNoDetails)</f>
        <v>6.5</v>
      </c>
      <c r="U296" s="23">
        <v>2.2999999999999998</v>
      </c>
      <c r="V296" s="24">
        <f t="shared" si="441"/>
        <v>2.2999999999999998</v>
      </c>
      <c r="W296" s="24">
        <f t="shared" si="442"/>
        <v>2.4749999999999996</v>
      </c>
      <c r="X296" s="24">
        <f>msam/e^2</f>
        <v>2.9890827466585046</v>
      </c>
      <c r="Y296" s="25">
        <f t="shared" si="403"/>
        <v>1</v>
      </c>
      <c r="Z296" s="24">
        <f t="shared" si="390"/>
        <v>17.03823203293857</v>
      </c>
      <c r="AA296" s="21">
        <f>IF(lpg,msag/lpg^2,0)</f>
        <v>0</v>
      </c>
      <c r="AB296" s="24">
        <f t="shared" si="391"/>
        <v>4.05</v>
      </c>
      <c r="AC296" s="24">
        <f t="shared" si="407"/>
        <v>24.311732032938572</v>
      </c>
      <c r="AD296" s="58">
        <f>IF(wsex,wsex,wsin-6)+crew*(IF(AND(crew=1,msam+msag&gt;=11),75,IF(loa&lt;=4,65,IF(loa&lt;=4.8,70,75))))</f>
        <v>337</v>
      </c>
      <c r="AE296" s="58">
        <f>IF(wsin,wsin,wsex+6)+crew*(IF(AND(crew=1,msam+msag&gt;=11),75,IF(loa&lt;=4,65,IF(loa&lt;=4.8,70,75))))</f>
        <v>343</v>
      </c>
      <c r="AF296" s="21">
        <f>IF(sas,((sas)*0.15),IF(loa&lt;=4.87,IF(crew=1,14*0.15,17*0.15),IF(loa&lt;=5.8,IF(crew=1,17*0.15,21*0.15),IF(loa&lt;=6.71,IF(crew=1,20*0.15,25*0.15),0))))</f>
        <v>3.75</v>
      </c>
      <c r="AG296" s="77">
        <f t="shared" si="393"/>
        <v>0</v>
      </c>
      <c r="AH296" s="114">
        <f t="shared" si="402"/>
        <v>1</v>
      </c>
      <c r="AI296" s="59">
        <f t="shared" si="394"/>
        <v>99.081993314193596</v>
      </c>
      <c r="AJ296" s="59">
        <f t="shared" si="395"/>
        <v>94.14024295279566</v>
      </c>
      <c r="AK296" s="55"/>
      <c r="AL296" s="55"/>
      <c r="AM296" s="21">
        <f>AK296*AL296*0.5</f>
        <v>0</v>
      </c>
      <c r="AN296" s="54">
        <v>8.8000000000000007</v>
      </c>
      <c r="AO296" s="55"/>
      <c r="AP296" s="21">
        <f t="shared" si="453"/>
        <v>0</v>
      </c>
      <c r="AQ296" s="55"/>
      <c r="AR296" s="55"/>
      <c r="AS296" s="21">
        <f t="shared" si="454"/>
        <v>0</v>
      </c>
      <c r="AT296" s="54"/>
      <c r="AU296" s="54"/>
      <c r="AV296" s="21">
        <f t="shared" si="455"/>
        <v>0</v>
      </c>
      <c r="AW296" s="54"/>
      <c r="AX296" s="54"/>
      <c r="AY296" s="21">
        <f t="shared" si="456"/>
        <v>0</v>
      </c>
      <c r="AZ296" s="54"/>
      <c r="BA296" s="54"/>
      <c r="BB296" s="21">
        <f t="shared" si="457"/>
        <v>0</v>
      </c>
      <c r="BC296" s="54"/>
      <c r="BD296" s="54"/>
      <c r="BE296" s="21">
        <f t="shared" si="458"/>
        <v>0</v>
      </c>
      <c r="BF296" s="55"/>
      <c r="BG296" s="55"/>
      <c r="BH296" s="21">
        <f t="shared" si="459"/>
        <v>0</v>
      </c>
      <c r="BI296" s="55"/>
      <c r="BJ296" s="55"/>
      <c r="BK296" s="21">
        <f t="shared" si="460"/>
        <v>0</v>
      </c>
      <c r="BL296" s="55"/>
      <c r="BM296" s="55"/>
      <c r="BN296" s="21">
        <f t="shared" si="461"/>
        <v>0</v>
      </c>
      <c r="BO296" s="55"/>
      <c r="BP296" s="55"/>
      <c r="BQ296" s="21">
        <f t="shared" si="462"/>
        <v>0</v>
      </c>
      <c r="BR296" s="55"/>
      <c r="BS296" s="21">
        <f>AM296+AP296+AS296+AV296+AY296+BB296+BE296+BH296+BK296+BN296+BQ296</f>
        <v>0</v>
      </c>
      <c r="BT296" s="56">
        <v>0</v>
      </c>
      <c r="BU296" s="56"/>
      <c r="BV296" s="21">
        <f t="shared" si="463"/>
        <v>0</v>
      </c>
      <c r="BW296" s="77">
        <f>BT296-CF296</f>
        <v>0</v>
      </c>
      <c r="BX296" s="55"/>
      <c r="BY296" s="21">
        <f t="shared" si="464"/>
        <v>0</v>
      </c>
      <c r="BZ296" s="55"/>
      <c r="CA296" s="55"/>
      <c r="CB296" s="21">
        <f t="shared" si="465"/>
        <v>0</v>
      </c>
      <c r="CC296" s="54"/>
      <c r="CD296" s="54"/>
      <c r="CE296" s="21">
        <f t="shared" si="466"/>
        <v>0</v>
      </c>
      <c r="CF296" s="21"/>
      <c r="CG296" s="21"/>
      <c r="CH296" s="21">
        <f>CF296*CG296*0.5</f>
        <v>0</v>
      </c>
      <c r="CI296" s="25">
        <f>BV296+BY296+CB296+CE296+CH296+DG296</f>
        <v>4.5</v>
      </c>
      <c r="CJ296" s="54">
        <v>0.35</v>
      </c>
      <c r="CK296" s="21">
        <f>MastLength*circMast*0.5</f>
        <v>1.6099999999999999</v>
      </c>
      <c r="CL296" s="55"/>
      <c r="CM296" s="55"/>
      <c r="CN296" s="60"/>
      <c r="CO296" s="55"/>
      <c r="CP296" s="55" t="s">
        <v>138</v>
      </c>
      <c r="CQ296" s="55" t="s">
        <v>138</v>
      </c>
      <c r="CR296" s="55"/>
      <c r="CS296" s="55"/>
      <c r="CT296" s="55"/>
      <c r="CU296" s="55"/>
      <c r="CV296" s="55"/>
      <c r="CW296" s="55"/>
      <c r="CX296" s="55"/>
      <c r="CY296" s="21">
        <f t="shared" si="451"/>
        <v>0</v>
      </c>
      <c r="CZ296" s="56"/>
      <c r="DA296" s="56"/>
      <c r="DB296" s="56"/>
      <c r="DC296" s="56"/>
      <c r="DD296" s="61">
        <f>IF(CZ296,DC296/CZ296,smg_sf_no_details)</f>
        <v>0</v>
      </c>
      <c r="DE296" s="21">
        <f>IF(CZ296,CZ296*(DA296+DB296)/4+(DC296-CZ296/2)*(DA296+DB296)/3,sas_no_details)</f>
        <v>25</v>
      </c>
      <c r="DF296" s="55">
        <v>16.7</v>
      </c>
      <c r="DG296" s="55">
        <v>4.5</v>
      </c>
      <c r="DH296" s="55">
        <v>6.5</v>
      </c>
      <c r="DI296" s="55">
        <v>25</v>
      </c>
      <c r="DJ296" s="104"/>
      <c r="DK296" s="53" t="s">
        <v>486</v>
      </c>
      <c r="DM296" s="58">
        <f t="shared" si="369"/>
        <v>971.69022343679978</v>
      </c>
      <c r="DN296" s="58">
        <f>IF(wsex,0.5*wsex*width+(rwex-wsex)*width+trapeze*(rwex-wsex)/crew,0.5*(wsin-6)*width+(rwin-wsin)*width+trapeze*(rwin-wsin)/crew)</f>
        <v>882.93499999999995</v>
      </c>
      <c r="DO296" s="21">
        <f>righting/heeling</f>
        <v>0.9086589313177621</v>
      </c>
      <c r="DP296" s="62">
        <f>IF((1/DO296)^$DP$5&lt;1,1,(1/DO296)^$DP$5)</f>
        <v>1.0105921048556197</v>
      </c>
      <c r="DQ296" s="7">
        <v>0</v>
      </c>
      <c r="DR296" s="107">
        <f t="shared" si="404"/>
        <v>0</v>
      </c>
    </row>
    <row r="297" spans="1:1033" s="86" customFormat="1" ht="12.75" customHeight="1" x14ac:dyDescent="0.2">
      <c r="A297" s="53" t="s">
        <v>487</v>
      </c>
      <c r="B297" s="57">
        <v>2</v>
      </c>
      <c r="C297" s="92">
        <f>AI297*PowerFactor</f>
        <v>108.70100617000347</v>
      </c>
      <c r="D297" s="92">
        <f>AJ297*PowerFactor*IF(crew=1,1.01,1)</f>
        <v>103.52868265659659</v>
      </c>
      <c r="E297" s="92">
        <f>VLOOKUP(A297,[3]TRTOTAL!$A$7:$D$313,3,FALSE)</f>
        <v>108.70100617000347</v>
      </c>
      <c r="F297" s="92">
        <f>VLOOKUP(A297,[3]TRTOTAL!$A$7:$D$313,4,FALSE)</f>
        <v>103.52868265659659</v>
      </c>
      <c r="G297" s="92">
        <f t="shared" si="400"/>
        <v>0</v>
      </c>
      <c r="H297" s="92">
        <f t="shared" si="401"/>
        <v>0</v>
      </c>
      <c r="I297" s="54">
        <v>5.52</v>
      </c>
      <c r="J297" s="56">
        <v>5.52</v>
      </c>
      <c r="K297" s="54">
        <v>2.2999999999999998</v>
      </c>
      <c r="L297" s="57">
        <v>2</v>
      </c>
      <c r="M297" s="57">
        <v>173</v>
      </c>
      <c r="N297" s="57"/>
      <c r="O297" s="87"/>
      <c r="P297" s="21">
        <f>marea+areaMast+mssam+mareNoDet</f>
        <v>15.608683333333332</v>
      </c>
      <c r="Q297" s="24">
        <f t="shared" si="452"/>
        <v>8.57</v>
      </c>
      <c r="R297" s="21">
        <f>CI297</f>
        <v>4.1436333333333337</v>
      </c>
      <c r="S297" s="87">
        <v>9</v>
      </c>
      <c r="T297" s="21">
        <f>IF(gs_1,gs_1*0.94,VlgNoDetails)</f>
        <v>5.6493999999999991</v>
      </c>
      <c r="U297"/>
      <c r="V297" s="24">
        <f t="shared" si="441"/>
        <v>2.15</v>
      </c>
      <c r="W297" s="24">
        <f t="shared" si="442"/>
        <v>2.3249999999999997</v>
      </c>
      <c r="X297" s="24">
        <f>msam/e^2</f>
        <v>2.8874891124214748</v>
      </c>
      <c r="Y297" s="25">
        <f t="shared" si="403"/>
        <v>1</v>
      </c>
      <c r="Z297" s="24">
        <f t="shared" si="390"/>
        <v>14.374646690189621</v>
      </c>
      <c r="AA297" s="21">
        <f>IF(lpg,msag/lpg^2,0)</f>
        <v>2.1758209059721354</v>
      </c>
      <c r="AB297" s="24">
        <f t="shared" si="391"/>
        <v>3.7670445655001559</v>
      </c>
      <c r="AC297" s="24">
        <f t="shared" si="407"/>
        <v>20.801975462174759</v>
      </c>
      <c r="AD297" s="58">
        <f>IF(wsex,wsex,wsin-6)+crew*(IF(AND(crew=1,msam+msag&gt;=11),75,IF(loa&lt;=4,65,IF(loa&lt;=4.8,70,75))))</f>
        <v>323</v>
      </c>
      <c r="AE297" s="58">
        <f>IF(wsin,wsin,wsex+6)+crew*(IF(AND(crew=1,msam+msag&gt;=11),75,IF(loa&lt;=4,65,IF(loa&lt;=4.8,70,75))))</f>
        <v>329</v>
      </c>
      <c r="AF297" s="21">
        <f>IF(sas,((sas)*0.15),IF(loa&lt;=4.87,IF(crew=1,14*0.15,17*0.15),IF(loa&lt;=5.8,IF(crew=1,17*0.15,21*0.15),IF(loa&lt;=6.71,IF(crew=1,20*0.15,25*0.15),0))))</f>
        <v>3.15</v>
      </c>
      <c r="AG297" s="77">
        <f t="shared" si="393"/>
        <v>0</v>
      </c>
      <c r="AH297" s="114">
        <f t="shared" si="402"/>
        <v>1</v>
      </c>
      <c r="AI297" s="59">
        <f t="shared" si="394"/>
        <v>106.84154201099173</v>
      </c>
      <c r="AJ297" s="59">
        <f t="shared" si="395"/>
        <v>101.75769744116475</v>
      </c>
      <c r="AK297" s="56">
        <v>8.57</v>
      </c>
      <c r="AL297" s="55">
        <v>2.15</v>
      </c>
      <c r="AM297" s="21">
        <f>AK297*AL297*0.5</f>
        <v>9.2127499999999998</v>
      </c>
      <c r="AN297" s="56">
        <v>8.57</v>
      </c>
      <c r="AO297" s="56">
        <v>0.13</v>
      </c>
      <c r="AP297" s="21">
        <f t="shared" si="453"/>
        <v>0.74273333333333336</v>
      </c>
      <c r="AQ297" s="56"/>
      <c r="AR297" s="56"/>
      <c r="AS297" s="21">
        <f t="shared" si="454"/>
        <v>0</v>
      </c>
      <c r="AT297" s="56">
        <v>8.3800000000000008</v>
      </c>
      <c r="AU297" s="56">
        <v>0.72</v>
      </c>
      <c r="AV297" s="21">
        <f t="shared" si="455"/>
        <v>3.0168000000000004</v>
      </c>
      <c r="AW297" s="56">
        <v>1.08</v>
      </c>
      <c r="AX297" s="56">
        <v>0.27</v>
      </c>
      <c r="AY297" s="21">
        <f t="shared" si="456"/>
        <v>0.14580000000000001</v>
      </c>
      <c r="AZ297" s="56">
        <v>7.63</v>
      </c>
      <c r="BA297" s="56">
        <v>0.18</v>
      </c>
      <c r="BB297" s="21">
        <f t="shared" si="457"/>
        <v>0.91559999999999997</v>
      </c>
      <c r="BC297" s="56"/>
      <c r="BD297" s="56"/>
      <c r="BE297" s="21">
        <f t="shared" si="458"/>
        <v>0</v>
      </c>
      <c r="BF297" s="56"/>
      <c r="BG297" s="56"/>
      <c r="BH297" s="21">
        <f t="shared" si="459"/>
        <v>0</v>
      </c>
      <c r="BI297" s="56"/>
      <c r="BJ297" s="56"/>
      <c r="BK297" s="21">
        <f t="shared" si="460"/>
        <v>0</v>
      </c>
      <c r="BL297" s="56"/>
      <c r="BM297" s="56"/>
      <c r="BN297" s="21">
        <f t="shared" si="461"/>
        <v>0</v>
      </c>
      <c r="BO297" s="56"/>
      <c r="BP297" s="56"/>
      <c r="BQ297" s="21">
        <f t="shared" si="462"/>
        <v>0</v>
      </c>
      <c r="BR297" s="56"/>
      <c r="BS297" s="21">
        <f>AM297+AP297+AS297+AV297+AY297+BB297+BE297+BH297+BK297+BN297+BQ297</f>
        <v>14.033683333333332</v>
      </c>
      <c r="BT297" s="56">
        <v>6.01</v>
      </c>
      <c r="BU297" s="56">
        <v>1.38</v>
      </c>
      <c r="BV297" s="21">
        <f t="shared" si="463"/>
        <v>4.1468999999999996</v>
      </c>
      <c r="BW297" s="77">
        <f>BT297-CF297</f>
        <v>6.01</v>
      </c>
      <c r="BX297" s="55">
        <v>-0.01</v>
      </c>
      <c r="BY297" s="21">
        <f t="shared" si="464"/>
        <v>-4.0066666666666667E-2</v>
      </c>
      <c r="BZ297" s="56"/>
      <c r="CA297" s="56"/>
      <c r="CB297" s="21">
        <f t="shared" si="465"/>
        <v>0</v>
      </c>
      <c r="CC297" s="56">
        <v>1.38</v>
      </c>
      <c r="CD297" s="56">
        <v>0.04</v>
      </c>
      <c r="CE297" s="21">
        <f t="shared" si="466"/>
        <v>3.6799999999999999E-2</v>
      </c>
      <c r="CF297" s="21"/>
      <c r="CG297" s="21"/>
      <c r="CH297" s="21">
        <f>CF297*CG297*0.5</f>
        <v>0</v>
      </c>
      <c r="CI297" s="25">
        <f>BV297+BY297+CB297+CE297+CH297+DG297</f>
        <v>4.1436333333333337</v>
      </c>
      <c r="CJ297" s="56">
        <v>0.35</v>
      </c>
      <c r="CK297" s="21">
        <f>MastLength*circMast*0.5</f>
        <v>1.575</v>
      </c>
      <c r="CL297" s="57"/>
      <c r="CM297" s="57"/>
      <c r="CN297" s="57"/>
      <c r="CO297" s="57"/>
      <c r="CP297" s="57" t="s">
        <v>138</v>
      </c>
      <c r="CQ297" s="57" t="s">
        <v>138</v>
      </c>
      <c r="CR297" s="57"/>
      <c r="CS297" s="57"/>
      <c r="CT297" s="57"/>
      <c r="CU297" s="57"/>
      <c r="CV297" s="57"/>
      <c r="CW297" s="57"/>
      <c r="CX297" s="57"/>
      <c r="CY297" s="58">
        <f t="shared" si="451"/>
        <v>0</v>
      </c>
      <c r="CZ297" s="56"/>
      <c r="DA297" s="56"/>
      <c r="DB297" s="56"/>
      <c r="DC297" s="56"/>
      <c r="DD297" s="61">
        <f>IF(CZ297,DC297/CZ297,smg_sf_no_details)</f>
        <v>0</v>
      </c>
      <c r="DE297" s="21">
        <f>IF(CZ297,CZ297*(DA297+DB297)/4+(DC297-CZ297/2)*(DA297+DB297)/3,sas_no_details)</f>
        <v>0</v>
      </c>
      <c r="DF297" s="55"/>
      <c r="DG297" s="56"/>
      <c r="DH297" s="56"/>
      <c r="DI297" s="55"/>
      <c r="DJ297" s="104"/>
      <c r="DK297" s="56"/>
      <c r="DL297"/>
      <c r="DM297" s="58">
        <f t="shared" si="369"/>
        <v>811.80206090143804</v>
      </c>
      <c r="DN297" s="58">
        <f>IF(wsex,0.5*wsex*width+(rwex-wsex)*width+trapeze*(rwex-wsex)/crew,0.5*(wsin-6)*width+(rwin-wsin)*width+trapeze*(rwin-wsin)/crew)</f>
        <v>693.95</v>
      </c>
      <c r="DO297" s="21">
        <f>righting/heeling</f>
        <v>0.85482660542820843</v>
      </c>
      <c r="DP297" s="62">
        <f>IF((1/DO297)^$DP$5&lt;1,1,(1/DO297)^$DP$5)</f>
        <v>1.0174039434850204</v>
      </c>
      <c r="DQ297" s="7">
        <v>0</v>
      </c>
      <c r="DR297" s="107">
        <f t="shared" si="404"/>
        <v>0</v>
      </c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  <c r="IW297"/>
      <c r="IX297"/>
      <c r="IY297"/>
      <c r="IZ297"/>
      <c r="JA297"/>
      <c r="JB297"/>
      <c r="JC297"/>
      <c r="JD297"/>
      <c r="JE297"/>
      <c r="JF297"/>
      <c r="JG297"/>
      <c r="JH297"/>
      <c r="JI297"/>
      <c r="JJ297"/>
      <c r="JK297"/>
      <c r="JL297"/>
      <c r="JM297"/>
      <c r="JN297"/>
      <c r="JO297"/>
      <c r="JP297"/>
      <c r="JQ297"/>
      <c r="JR297"/>
      <c r="JS297"/>
      <c r="JT297"/>
      <c r="JU297"/>
      <c r="JV297"/>
      <c r="JW297"/>
      <c r="JX297"/>
      <c r="JY297"/>
      <c r="JZ297"/>
      <c r="KA297"/>
      <c r="KB297"/>
      <c r="KC297"/>
      <c r="KD297"/>
      <c r="KE297"/>
      <c r="KF297"/>
      <c r="KG297"/>
      <c r="KH297"/>
      <c r="KI297"/>
      <c r="KJ297"/>
      <c r="KK297"/>
      <c r="KL297"/>
      <c r="KM297"/>
      <c r="KN297"/>
      <c r="KO297"/>
      <c r="KP297"/>
      <c r="KQ297"/>
      <c r="KR297"/>
      <c r="KS297"/>
      <c r="KT297"/>
      <c r="KU297"/>
      <c r="KV297"/>
      <c r="KW297"/>
      <c r="KX297"/>
      <c r="KY297"/>
      <c r="KZ297"/>
      <c r="LA297"/>
      <c r="LB297"/>
      <c r="LC297"/>
      <c r="LD297"/>
      <c r="LE297"/>
      <c r="LF297"/>
      <c r="LG297"/>
      <c r="LH297"/>
      <c r="LI297"/>
      <c r="LJ297"/>
      <c r="LK297"/>
      <c r="LL297"/>
      <c r="LM297"/>
      <c r="LN297"/>
      <c r="LO297"/>
      <c r="LP297"/>
      <c r="LQ297"/>
      <c r="LR297"/>
      <c r="LS297"/>
      <c r="LT297"/>
      <c r="LU297"/>
      <c r="LV297"/>
      <c r="LW297"/>
      <c r="LX297"/>
      <c r="LY297"/>
      <c r="LZ297"/>
      <c r="MA297"/>
      <c r="MB297"/>
      <c r="MC297"/>
      <c r="MD297"/>
      <c r="ME297"/>
      <c r="MF297"/>
      <c r="MG297"/>
      <c r="MH297"/>
      <c r="MI297"/>
      <c r="MJ297"/>
      <c r="MK297"/>
      <c r="ML297"/>
      <c r="MM297"/>
      <c r="MN297"/>
      <c r="MO297"/>
      <c r="MP297"/>
      <c r="MQ297"/>
      <c r="MR297"/>
      <c r="MS297"/>
      <c r="MT297"/>
      <c r="MU297"/>
      <c r="MV297"/>
      <c r="MW297"/>
      <c r="MX297"/>
      <c r="MY297"/>
      <c r="MZ297"/>
      <c r="NA297"/>
      <c r="NB297"/>
      <c r="NC297"/>
      <c r="ND297"/>
      <c r="NE297"/>
      <c r="NF297"/>
      <c r="NG297"/>
      <c r="NH297"/>
      <c r="NI297"/>
      <c r="NJ297"/>
      <c r="NK297"/>
      <c r="NL297"/>
      <c r="NM297"/>
      <c r="NN297"/>
      <c r="NO297"/>
      <c r="NP297"/>
      <c r="NQ297"/>
      <c r="NR297"/>
      <c r="NS297"/>
      <c r="NT297"/>
      <c r="NU297"/>
      <c r="NV297"/>
      <c r="NW297"/>
      <c r="NX297"/>
      <c r="NY297"/>
      <c r="NZ297"/>
      <c r="OA297"/>
      <c r="OB297"/>
      <c r="OC297"/>
      <c r="OD297"/>
      <c r="OE297"/>
      <c r="OF297"/>
      <c r="OG297"/>
      <c r="OH297"/>
      <c r="OI297"/>
      <c r="OJ297"/>
      <c r="OK297"/>
      <c r="OL297"/>
      <c r="OM297"/>
      <c r="ON297"/>
      <c r="OO297"/>
      <c r="OP297"/>
      <c r="OQ297"/>
      <c r="OR297"/>
      <c r="OS297"/>
      <c r="OT297"/>
      <c r="OU297"/>
      <c r="OV297"/>
      <c r="OW297"/>
      <c r="OX297"/>
      <c r="OY297"/>
      <c r="OZ297"/>
      <c r="PA297"/>
      <c r="PB297"/>
      <c r="PC297"/>
      <c r="PD297"/>
      <c r="PE297"/>
      <c r="PF297"/>
      <c r="PG297"/>
      <c r="PH297"/>
      <c r="PI297"/>
      <c r="PJ297"/>
      <c r="PK297"/>
      <c r="PL297"/>
      <c r="PM297"/>
      <c r="PN297"/>
      <c r="PO297"/>
      <c r="PP297"/>
      <c r="PQ297"/>
      <c r="PR297"/>
      <c r="PS297"/>
      <c r="PT297"/>
      <c r="PU297"/>
      <c r="PV297"/>
      <c r="PW297"/>
      <c r="PX297"/>
      <c r="PY297"/>
      <c r="PZ297"/>
      <c r="QA297"/>
      <c r="QB297"/>
      <c r="QC297"/>
      <c r="QD297"/>
      <c r="QE297"/>
      <c r="QF297"/>
      <c r="QG297"/>
      <c r="QH297"/>
      <c r="QI297"/>
      <c r="QJ297"/>
      <c r="QK297"/>
      <c r="QL297"/>
      <c r="QM297"/>
      <c r="QN297"/>
      <c r="QO297"/>
      <c r="QP297"/>
      <c r="QQ297"/>
      <c r="QR297"/>
      <c r="QS297"/>
      <c r="QT297"/>
      <c r="QU297"/>
      <c r="QV297"/>
      <c r="QW297"/>
      <c r="QX297"/>
      <c r="QY297"/>
      <c r="QZ297"/>
      <c r="RA297"/>
      <c r="RB297"/>
      <c r="RC297"/>
      <c r="RD297"/>
      <c r="RE297"/>
      <c r="RF297"/>
      <c r="RG297"/>
      <c r="RH297"/>
      <c r="RI297"/>
      <c r="RJ297"/>
      <c r="RK297"/>
      <c r="RL297"/>
      <c r="RM297"/>
      <c r="RN297"/>
      <c r="RO297"/>
      <c r="RP297"/>
      <c r="RQ297"/>
      <c r="RR297"/>
      <c r="RS297"/>
      <c r="RT297"/>
      <c r="RU297"/>
      <c r="RV297"/>
      <c r="RW297"/>
      <c r="RX297"/>
      <c r="RY297"/>
      <c r="RZ297"/>
      <c r="SA297"/>
      <c r="SB297"/>
      <c r="SC297"/>
      <c r="SD297"/>
      <c r="SE297"/>
      <c r="SF297"/>
      <c r="SG297"/>
      <c r="SH297"/>
      <c r="SI297"/>
      <c r="SJ297"/>
      <c r="SK297"/>
      <c r="SL297"/>
      <c r="SM297"/>
      <c r="SN297"/>
      <c r="SO297"/>
      <c r="SP297"/>
      <c r="SQ297"/>
      <c r="SR297"/>
      <c r="SS297"/>
      <c r="ST297"/>
      <c r="SU297"/>
      <c r="SV297"/>
      <c r="SW297"/>
      <c r="SX297"/>
      <c r="SY297"/>
      <c r="SZ297"/>
      <c r="TA297"/>
      <c r="TB297"/>
      <c r="TC297"/>
      <c r="TD297"/>
      <c r="TE297"/>
      <c r="TF297"/>
      <c r="TG297"/>
      <c r="TH297"/>
      <c r="TI297"/>
      <c r="TJ297"/>
      <c r="TK297"/>
      <c r="TL297"/>
      <c r="TM297"/>
      <c r="TN297"/>
      <c r="TO297"/>
      <c r="TP297"/>
      <c r="TQ297"/>
      <c r="TR297"/>
      <c r="TS297"/>
      <c r="TT297"/>
      <c r="TU297"/>
      <c r="TV297"/>
      <c r="TW297"/>
      <c r="TX297"/>
      <c r="TY297"/>
      <c r="TZ297"/>
      <c r="UA297"/>
      <c r="UB297"/>
      <c r="UC297"/>
      <c r="UD297"/>
      <c r="UE297"/>
      <c r="UF297"/>
      <c r="UG297"/>
      <c r="UH297"/>
      <c r="UI297"/>
      <c r="UJ297"/>
      <c r="UK297"/>
      <c r="UL297"/>
      <c r="UM297"/>
      <c r="UN297"/>
      <c r="UO297"/>
      <c r="UP297"/>
      <c r="UQ297"/>
      <c r="UR297"/>
      <c r="US297"/>
      <c r="UT297"/>
      <c r="UU297"/>
      <c r="UV297"/>
      <c r="UW297"/>
      <c r="UX297"/>
      <c r="UY297"/>
      <c r="UZ297"/>
      <c r="VA297"/>
      <c r="VB297"/>
      <c r="VC297"/>
      <c r="VD297"/>
      <c r="VE297"/>
      <c r="VF297"/>
      <c r="VG297"/>
      <c r="VH297"/>
      <c r="VI297"/>
      <c r="VJ297"/>
      <c r="VK297"/>
      <c r="VL297"/>
      <c r="VM297"/>
      <c r="VN297"/>
      <c r="VO297"/>
      <c r="VP297"/>
      <c r="VQ297"/>
      <c r="VR297"/>
      <c r="VS297"/>
      <c r="VT297"/>
      <c r="VU297"/>
      <c r="VV297"/>
      <c r="VW297"/>
      <c r="VX297"/>
      <c r="VY297"/>
      <c r="VZ297"/>
      <c r="WA297"/>
      <c r="WB297"/>
      <c r="WC297"/>
      <c r="WD297"/>
      <c r="WE297"/>
      <c r="WF297"/>
      <c r="WG297"/>
      <c r="WH297"/>
      <c r="WI297"/>
      <c r="WJ297"/>
      <c r="WK297"/>
      <c r="WL297"/>
      <c r="WM297"/>
      <c r="WN297"/>
      <c r="WO297"/>
      <c r="WP297"/>
      <c r="WQ297"/>
      <c r="WR297"/>
      <c r="WS297"/>
      <c r="WT297"/>
      <c r="WU297"/>
      <c r="WV297"/>
      <c r="WW297"/>
      <c r="WX297"/>
      <c r="WY297"/>
      <c r="WZ297"/>
      <c r="XA297"/>
      <c r="XB297"/>
      <c r="XC297"/>
      <c r="XD297"/>
      <c r="XE297"/>
      <c r="XF297"/>
      <c r="XG297"/>
      <c r="XH297"/>
      <c r="XI297"/>
      <c r="XJ297"/>
      <c r="XK297"/>
      <c r="XL297"/>
      <c r="XM297"/>
      <c r="XN297"/>
      <c r="XO297"/>
      <c r="XP297"/>
      <c r="XQ297"/>
      <c r="XR297"/>
      <c r="XS297"/>
      <c r="XT297"/>
      <c r="XU297"/>
      <c r="XV297"/>
      <c r="XW297"/>
      <c r="XX297"/>
      <c r="XY297"/>
      <c r="XZ297"/>
      <c r="YA297"/>
      <c r="YB297"/>
      <c r="YC297"/>
      <c r="YD297"/>
      <c r="YE297"/>
      <c r="YF297"/>
      <c r="YG297"/>
      <c r="YH297"/>
      <c r="YI297"/>
      <c r="YJ297"/>
      <c r="YK297"/>
      <c r="YL297"/>
      <c r="YM297"/>
      <c r="YN297"/>
      <c r="YO297"/>
      <c r="YP297"/>
      <c r="YQ297"/>
      <c r="YR297"/>
      <c r="YS297"/>
      <c r="YT297"/>
      <c r="YU297"/>
      <c r="YV297"/>
      <c r="YW297"/>
      <c r="YX297"/>
      <c r="YY297"/>
      <c r="YZ297"/>
      <c r="ZA297"/>
      <c r="ZB297"/>
      <c r="ZC297"/>
      <c r="ZD297"/>
      <c r="ZE297"/>
      <c r="ZF297"/>
      <c r="ZG297"/>
      <c r="ZH297"/>
      <c r="ZI297"/>
      <c r="ZJ297"/>
      <c r="ZK297"/>
      <c r="ZL297"/>
      <c r="ZM297"/>
      <c r="ZN297"/>
      <c r="ZO297"/>
      <c r="ZP297"/>
      <c r="ZQ297"/>
      <c r="ZR297"/>
      <c r="ZS297"/>
      <c r="ZT297"/>
      <c r="ZU297"/>
      <c r="ZV297"/>
      <c r="ZW297"/>
      <c r="ZX297"/>
      <c r="ZY297"/>
      <c r="ZZ297"/>
      <c r="AAA297"/>
      <c r="AAB297"/>
      <c r="AAC297"/>
      <c r="AAD297"/>
      <c r="AAE297"/>
      <c r="AAF297"/>
      <c r="AAG297"/>
      <c r="AAH297"/>
      <c r="AAI297"/>
      <c r="AAJ297"/>
      <c r="AAK297"/>
      <c r="AAL297"/>
      <c r="AAM297"/>
      <c r="AAN297"/>
      <c r="AAO297"/>
      <c r="AAP297"/>
      <c r="AAQ297"/>
      <c r="AAR297"/>
      <c r="AAS297"/>
      <c r="AAT297"/>
      <c r="AAU297"/>
      <c r="AAV297"/>
      <c r="AAW297"/>
      <c r="AAX297"/>
      <c r="AAY297"/>
      <c r="AAZ297"/>
      <c r="ABA297"/>
      <c r="ABB297"/>
      <c r="ABC297"/>
      <c r="ABD297"/>
      <c r="ABE297"/>
      <c r="ABF297"/>
      <c r="ABG297"/>
      <c r="ABH297"/>
      <c r="ABI297"/>
      <c r="ABJ297"/>
      <c r="ABK297"/>
      <c r="ABL297"/>
      <c r="ABM297"/>
      <c r="ABN297"/>
      <c r="ABO297"/>
      <c r="ABP297"/>
      <c r="ABQ297"/>
      <c r="ABR297"/>
      <c r="ABS297"/>
      <c r="ABT297"/>
      <c r="ABU297"/>
      <c r="ABV297"/>
      <c r="ABW297"/>
      <c r="ABX297"/>
      <c r="ABY297"/>
      <c r="ABZ297"/>
      <c r="ACA297"/>
      <c r="ACB297"/>
      <c r="ACC297"/>
      <c r="ACD297"/>
      <c r="ACE297"/>
      <c r="ACF297"/>
      <c r="ACG297"/>
      <c r="ACH297"/>
      <c r="ACI297"/>
      <c r="ACJ297"/>
      <c r="ACK297"/>
      <c r="ACL297"/>
      <c r="ACM297"/>
      <c r="ACN297"/>
      <c r="ACO297"/>
      <c r="ACP297"/>
      <c r="ACQ297"/>
      <c r="ACR297"/>
      <c r="ACS297"/>
      <c r="ACT297"/>
      <c r="ACU297"/>
      <c r="ACV297"/>
      <c r="ACW297"/>
      <c r="ACX297"/>
      <c r="ACY297"/>
      <c r="ACZ297"/>
      <c r="ADA297"/>
      <c r="ADB297"/>
      <c r="ADC297"/>
      <c r="ADD297"/>
      <c r="ADE297"/>
      <c r="ADF297"/>
      <c r="ADG297"/>
      <c r="ADH297"/>
      <c r="ADI297"/>
      <c r="ADJ297"/>
      <c r="ADK297"/>
      <c r="ADL297"/>
      <c r="ADM297"/>
      <c r="ADN297"/>
      <c r="ADO297"/>
      <c r="ADP297"/>
      <c r="ADQ297"/>
      <c r="ADR297"/>
      <c r="ADS297"/>
      <c r="ADT297"/>
      <c r="ADU297"/>
      <c r="ADV297"/>
      <c r="ADW297"/>
      <c r="ADX297"/>
      <c r="ADY297"/>
      <c r="ADZ297"/>
      <c r="AEA297"/>
      <c r="AEB297"/>
      <c r="AEC297"/>
      <c r="AED297"/>
      <c r="AEE297"/>
      <c r="AEF297"/>
      <c r="AEG297"/>
      <c r="AEH297"/>
      <c r="AEI297"/>
      <c r="AEJ297"/>
      <c r="AEK297"/>
      <c r="AEL297"/>
      <c r="AEM297"/>
      <c r="AEN297"/>
      <c r="AEO297"/>
      <c r="AEP297"/>
      <c r="AEQ297"/>
      <c r="AER297"/>
      <c r="AES297"/>
      <c r="AET297"/>
      <c r="AEU297"/>
      <c r="AEV297"/>
      <c r="AEW297"/>
      <c r="AEX297"/>
      <c r="AEY297"/>
      <c r="AEZ297"/>
      <c r="AFA297"/>
      <c r="AFB297"/>
      <c r="AFC297"/>
      <c r="AFD297"/>
      <c r="AFE297"/>
      <c r="AFF297"/>
      <c r="AFG297"/>
      <c r="AFH297"/>
      <c r="AFI297"/>
      <c r="AFJ297"/>
      <c r="AFK297"/>
      <c r="AFL297"/>
      <c r="AFM297"/>
      <c r="AFN297"/>
      <c r="AFO297"/>
      <c r="AFP297"/>
      <c r="AFQ297"/>
      <c r="AFR297"/>
      <c r="AFS297"/>
      <c r="AFT297"/>
      <c r="AFU297"/>
      <c r="AFV297"/>
      <c r="AFW297"/>
      <c r="AFX297"/>
      <c r="AFY297"/>
      <c r="AFZ297"/>
      <c r="AGA297"/>
      <c r="AGB297"/>
      <c r="AGC297"/>
      <c r="AGD297"/>
      <c r="AGE297"/>
      <c r="AGF297"/>
      <c r="AGG297"/>
      <c r="AGH297"/>
      <c r="AGI297"/>
      <c r="AGJ297"/>
      <c r="AGK297"/>
      <c r="AGL297"/>
      <c r="AGM297"/>
      <c r="AGN297"/>
      <c r="AGO297"/>
      <c r="AGP297"/>
      <c r="AGQ297"/>
      <c r="AGR297"/>
      <c r="AGS297"/>
      <c r="AGT297"/>
      <c r="AGU297"/>
      <c r="AGV297"/>
      <c r="AGW297"/>
      <c r="AGX297"/>
      <c r="AGY297"/>
      <c r="AGZ297"/>
      <c r="AHA297"/>
      <c r="AHB297"/>
      <c r="AHC297"/>
      <c r="AHD297"/>
      <c r="AHE297"/>
      <c r="AHF297"/>
      <c r="AHG297"/>
      <c r="AHH297"/>
      <c r="AHI297"/>
      <c r="AHJ297"/>
      <c r="AHK297"/>
      <c r="AHL297"/>
      <c r="AHM297"/>
      <c r="AHN297"/>
      <c r="AHO297"/>
      <c r="AHP297"/>
      <c r="AHQ297"/>
      <c r="AHR297"/>
      <c r="AHS297"/>
      <c r="AHT297"/>
      <c r="AHU297"/>
      <c r="AHV297"/>
      <c r="AHW297"/>
      <c r="AHX297"/>
      <c r="AHY297"/>
      <c r="AHZ297"/>
      <c r="AIA297"/>
      <c r="AIB297"/>
      <c r="AIC297"/>
      <c r="AID297"/>
      <c r="AIE297"/>
      <c r="AIF297"/>
      <c r="AIG297"/>
      <c r="AIH297"/>
      <c r="AII297"/>
      <c r="AIJ297"/>
      <c r="AIK297"/>
      <c r="AIL297"/>
      <c r="AIM297"/>
      <c r="AIN297"/>
      <c r="AIO297"/>
      <c r="AIP297"/>
      <c r="AIQ297"/>
      <c r="AIR297"/>
      <c r="AIS297"/>
      <c r="AIT297"/>
      <c r="AIU297"/>
      <c r="AIV297"/>
      <c r="AIW297"/>
      <c r="AIX297"/>
      <c r="AIY297"/>
      <c r="AIZ297"/>
      <c r="AJA297"/>
      <c r="AJB297"/>
      <c r="AJC297"/>
      <c r="AJD297"/>
      <c r="AJE297"/>
      <c r="AJF297"/>
      <c r="AJG297"/>
      <c r="AJH297"/>
      <c r="AJI297"/>
      <c r="AJJ297"/>
      <c r="AJK297"/>
      <c r="AJL297"/>
      <c r="AJM297"/>
      <c r="AJN297"/>
      <c r="AJO297"/>
      <c r="AJP297"/>
      <c r="AJQ297"/>
      <c r="AJR297"/>
      <c r="AJS297"/>
      <c r="AJT297"/>
      <c r="AJU297"/>
      <c r="AJV297"/>
      <c r="AJW297"/>
      <c r="AJX297"/>
      <c r="AJY297"/>
      <c r="AJZ297"/>
      <c r="AKA297"/>
      <c r="AKB297"/>
      <c r="AKC297"/>
      <c r="AKD297"/>
      <c r="AKE297"/>
      <c r="AKF297"/>
      <c r="AKG297"/>
      <c r="AKH297"/>
      <c r="AKI297"/>
      <c r="AKJ297"/>
      <c r="AKK297"/>
      <c r="AKL297"/>
      <c r="AKM297"/>
      <c r="AKN297"/>
      <c r="AKO297"/>
      <c r="AKP297"/>
      <c r="AKQ297"/>
      <c r="AKR297"/>
      <c r="AKS297"/>
      <c r="AKT297"/>
      <c r="AKU297"/>
      <c r="AKV297"/>
      <c r="AKW297"/>
      <c r="AKX297"/>
      <c r="AKY297"/>
      <c r="AKZ297"/>
      <c r="ALA297"/>
      <c r="ALB297"/>
      <c r="ALC297"/>
      <c r="ALD297"/>
      <c r="ALE297"/>
      <c r="ALF297"/>
      <c r="ALG297"/>
      <c r="ALH297"/>
      <c r="ALI297"/>
      <c r="ALJ297"/>
      <c r="ALK297"/>
      <c r="ALL297"/>
      <c r="ALM297"/>
      <c r="ALN297"/>
      <c r="ALO297"/>
      <c r="ALP297"/>
      <c r="ALQ297"/>
      <c r="ALR297"/>
      <c r="ALS297"/>
      <c r="ALT297"/>
      <c r="ALU297"/>
      <c r="ALV297"/>
      <c r="ALW297"/>
      <c r="ALX297"/>
      <c r="ALY297"/>
      <c r="ALZ297"/>
      <c r="AMA297"/>
      <c r="AMB297"/>
      <c r="AMC297"/>
      <c r="AMD297"/>
      <c r="AME297"/>
      <c r="AMF297"/>
      <c r="AMG297"/>
      <c r="AMH297"/>
      <c r="AMI297"/>
      <c r="AMJ297"/>
      <c r="AMK297"/>
      <c r="AML297"/>
      <c r="AMM297"/>
      <c r="AMN297"/>
      <c r="AMO297"/>
      <c r="AMP297"/>
      <c r="AMQ297"/>
      <c r="AMR297"/>
      <c r="AMS297"/>
    </row>
    <row r="298" spans="1:1033" s="86" customFormat="1" ht="12.75" customHeight="1" x14ac:dyDescent="0.2">
      <c r="A298" s="53" t="s">
        <v>488</v>
      </c>
      <c r="B298" s="54">
        <v>1</v>
      </c>
      <c r="C298" s="92">
        <f>AI298*PowerFactor</f>
        <v>119.74529103537066</v>
      </c>
      <c r="D298" s="92">
        <f>AJ298*PowerFactor*IF(crew=1,1.01,1)</f>
        <v>115.96388965528715</v>
      </c>
      <c r="E298" s="92">
        <f>VLOOKUP(A298,[3]TRTOTAL!$A$7:$D$313,3,FALSE)</f>
        <v>119.74529103537066</v>
      </c>
      <c r="F298" s="92">
        <f>VLOOKUP(A298,[3]TRTOTAL!$A$7:$D$313,4,FALSE)</f>
        <v>115.96388965528715</v>
      </c>
      <c r="G298" s="92">
        <f t="shared" si="400"/>
        <v>0</v>
      </c>
      <c r="H298" s="92">
        <f t="shared" si="401"/>
        <v>0</v>
      </c>
      <c r="I298" s="54">
        <v>4.3</v>
      </c>
      <c r="J298" s="56">
        <v>4.2</v>
      </c>
      <c r="K298" s="54">
        <v>2</v>
      </c>
      <c r="L298" s="57">
        <v>1</v>
      </c>
      <c r="M298" s="57">
        <v>105</v>
      </c>
      <c r="N298" s="57"/>
      <c r="O298" s="87" t="s">
        <v>133</v>
      </c>
      <c r="P298" s="24">
        <f>marea+areaMast+mssam+mareNoDet</f>
        <v>11.49</v>
      </c>
      <c r="Q298" s="24">
        <f t="shared" si="452"/>
        <v>6.45</v>
      </c>
      <c r="R298" s="24">
        <f>CI298</f>
        <v>2.68</v>
      </c>
      <c r="S298" s="87">
        <v>6.9</v>
      </c>
      <c r="T298" s="21">
        <f>IF(gs_1,gs_1*0.94,VlgNoDetails)</f>
        <v>3.99</v>
      </c>
      <c r="U298" s="21"/>
      <c r="V298" s="24">
        <f t="shared" si="441"/>
        <v>1.9350000000000001</v>
      </c>
      <c r="W298" s="24">
        <f t="shared" si="442"/>
        <v>2.0950000000000002</v>
      </c>
      <c r="X298" s="24">
        <f>msam/e^2</f>
        <v>2.617893495708044</v>
      </c>
      <c r="Y298" s="25">
        <f t="shared" si="403"/>
        <v>1</v>
      </c>
      <c r="Z298" s="24">
        <f t="shared" si="390"/>
        <v>10.274966713317829</v>
      </c>
      <c r="AA298" s="21">
        <f>IF(lpg,msag/lpg^2,0)</f>
        <v>0</v>
      </c>
      <c r="AB298" s="24">
        <f t="shared" si="391"/>
        <v>2.4120000000000004</v>
      </c>
      <c r="AC298" s="24">
        <f t="shared" si="407"/>
        <v>14.47340671331783</v>
      </c>
      <c r="AD298" s="58">
        <f>IF(wsex,wsex,wsin-6)+crew*(IF(AND(crew=1,msam+msag&gt;=11),75,IF(loa&lt;=4,65,IF(loa&lt;=4.8,70,75))))</f>
        <v>180</v>
      </c>
      <c r="AE298" s="58">
        <f>IF(wsin,wsin,wsex+6)+crew*(IF(AND(crew=1,msam+msag&gt;=11),75,IF(loa&lt;=4,65,IF(loa&lt;=4.8,70,75))))</f>
        <v>186</v>
      </c>
      <c r="AF298" s="21">
        <f>IF(sas,((sas)*0.15),IF(loa&lt;=4.87,IF(crew=1,14*0.15,17*0.15),IF(loa&lt;=5.8,IF(crew=1,17*0.15,21*0.15),IF(loa&lt;=6.71,IF(crew=1,20*0.15,25*0.15),0))))</f>
        <v>2.1</v>
      </c>
      <c r="AG298" s="77">
        <f t="shared" si="393"/>
        <v>0</v>
      </c>
      <c r="AH298" s="114">
        <f t="shared" si="402"/>
        <v>1.04</v>
      </c>
      <c r="AI298" s="59">
        <f t="shared" si="394"/>
        <v>115.07504564187552</v>
      </c>
      <c r="AJ298" s="59">
        <f t="shared" si="395"/>
        <v>110.33774709857944</v>
      </c>
      <c r="AK298" s="55"/>
      <c r="AL298" s="55"/>
      <c r="AM298" s="21">
        <f>AK298*AL298*0.5</f>
        <v>0</v>
      </c>
      <c r="AN298" s="54">
        <v>6.45</v>
      </c>
      <c r="AO298" s="55"/>
      <c r="AP298" s="21">
        <f t="shared" si="453"/>
        <v>0</v>
      </c>
      <c r="AQ298" s="55"/>
      <c r="AR298" s="55"/>
      <c r="AS298" s="21">
        <f t="shared" si="454"/>
        <v>0</v>
      </c>
      <c r="AT298" s="54"/>
      <c r="AU298" s="54"/>
      <c r="AV298" s="21">
        <f t="shared" si="455"/>
        <v>0</v>
      </c>
      <c r="AW298" s="54"/>
      <c r="AX298" s="54"/>
      <c r="AY298" s="21">
        <f t="shared" si="456"/>
        <v>0</v>
      </c>
      <c r="AZ298" s="54"/>
      <c r="BA298" s="54"/>
      <c r="BB298" s="21">
        <f t="shared" si="457"/>
        <v>0</v>
      </c>
      <c r="BC298" s="54"/>
      <c r="BD298" s="54"/>
      <c r="BE298" s="21">
        <f t="shared" si="458"/>
        <v>0</v>
      </c>
      <c r="BF298" s="55"/>
      <c r="BG298" s="55"/>
      <c r="BH298" s="21">
        <f t="shared" si="459"/>
        <v>0</v>
      </c>
      <c r="BI298" s="55"/>
      <c r="BJ298" s="55"/>
      <c r="BK298" s="21">
        <f t="shared" si="460"/>
        <v>0</v>
      </c>
      <c r="BL298" s="55"/>
      <c r="BM298" s="55"/>
      <c r="BN298" s="21">
        <f t="shared" si="461"/>
        <v>0</v>
      </c>
      <c r="BO298" s="55"/>
      <c r="BP298" s="55"/>
      <c r="BQ298" s="21">
        <f t="shared" si="462"/>
        <v>0</v>
      </c>
      <c r="BR298" s="55"/>
      <c r="BS298" s="21">
        <f>AM298+AP298+AS298+AV298+AY298+BB298+BE298+BH298+BK298+BN298+BQ298</f>
        <v>0</v>
      </c>
      <c r="BT298" s="56">
        <v>0</v>
      </c>
      <c r="BU298" s="56"/>
      <c r="BV298" s="21">
        <f t="shared" si="463"/>
        <v>0</v>
      </c>
      <c r="BW298" s="77">
        <f>BT298-CF298</f>
        <v>0</v>
      </c>
      <c r="BX298" s="55"/>
      <c r="BY298" s="21">
        <f t="shared" si="464"/>
        <v>0</v>
      </c>
      <c r="BZ298" s="55"/>
      <c r="CA298" s="55"/>
      <c r="CB298" s="21">
        <f t="shared" si="465"/>
        <v>0</v>
      </c>
      <c r="CC298" s="54"/>
      <c r="CD298" s="54"/>
      <c r="CE298" s="21">
        <f t="shared" si="466"/>
        <v>0</v>
      </c>
      <c r="CF298" s="21"/>
      <c r="CG298" s="21"/>
      <c r="CH298" s="21">
        <f>CF298*CG298*0.5</f>
        <v>0</v>
      </c>
      <c r="CI298" s="25">
        <f>BV298+BY298+CB298+CE298+CH298+DG298</f>
        <v>2.68</v>
      </c>
      <c r="CJ298" s="54"/>
      <c r="CK298" s="21">
        <f>MastLength*circMast*0.5</f>
        <v>0</v>
      </c>
      <c r="CL298" s="55"/>
      <c r="CM298" s="55"/>
      <c r="CN298" s="60"/>
      <c r="CO298" s="55"/>
      <c r="CP298" s="55"/>
      <c r="CQ298" s="55"/>
      <c r="CR298" s="55"/>
      <c r="CS298" s="55"/>
      <c r="CT298" s="55"/>
      <c r="CU298" s="55"/>
      <c r="CV298" s="55"/>
      <c r="CW298" s="55"/>
      <c r="CX298" s="55"/>
      <c r="CY298" s="21">
        <f t="shared" si="451"/>
        <v>0</v>
      </c>
      <c r="CZ298" s="56"/>
      <c r="DA298" s="56"/>
      <c r="DB298" s="56"/>
      <c r="DC298" s="56"/>
      <c r="DD298" s="61">
        <f>IF(CZ298,DC298/CZ298,smg_sf_no_details)</f>
        <v>0</v>
      </c>
      <c r="DE298" s="21">
        <f>IF(CZ298,CZ298*(DA298+DB298)/4+(DC298-CZ298/2)*(DA298+DB298)/3,sas_no_details)</f>
        <v>0</v>
      </c>
      <c r="DF298" s="55">
        <v>11.49</v>
      </c>
      <c r="DG298" s="55">
        <v>2.68</v>
      </c>
      <c r="DH298" s="55">
        <v>3.99</v>
      </c>
      <c r="DI298" s="55"/>
      <c r="DJ298" s="104"/>
      <c r="DK298" s="53"/>
      <c r="DL298"/>
      <c r="DM298" s="58">
        <f t="shared" si="369"/>
        <v>473.78378681087997</v>
      </c>
      <c r="DN298" s="58">
        <f>IF(wsex,0.5*wsex*width+(rwex-wsex)*width+trapeze*(rwex-wsex)/crew,0.5*(wsin-6)*width+(rwin-wsin)*width+trapeze*(rwin-wsin)/crew)</f>
        <v>330</v>
      </c>
      <c r="DO298" s="21">
        <f>righting/heeling</f>
        <v>0.69652024654808609</v>
      </c>
      <c r="DP298" s="62">
        <f>IF((1/DO298)^$DP$5&lt;1,1,(1/DO298)^$DP$5)</f>
        <v>1.0405843453499848</v>
      </c>
      <c r="DQ298" s="7">
        <v>0</v>
      </c>
      <c r="DR298" s="107">
        <f t="shared" si="404"/>
        <v>0</v>
      </c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  <c r="IW298"/>
      <c r="IX298"/>
      <c r="IY298"/>
      <c r="IZ298"/>
      <c r="JA298"/>
      <c r="JB298"/>
      <c r="JC298"/>
      <c r="JD298"/>
      <c r="JE298"/>
      <c r="JF298"/>
      <c r="JG298"/>
      <c r="JH298"/>
      <c r="JI298"/>
      <c r="JJ298"/>
      <c r="JK298"/>
      <c r="JL298"/>
      <c r="JM298"/>
      <c r="JN298"/>
      <c r="JO298"/>
      <c r="JP298"/>
      <c r="JQ298"/>
      <c r="JR298"/>
      <c r="JS298"/>
      <c r="JT298"/>
      <c r="JU298"/>
      <c r="JV298"/>
      <c r="JW298"/>
      <c r="JX298"/>
      <c r="JY298"/>
      <c r="JZ298"/>
      <c r="KA298"/>
      <c r="KB298"/>
      <c r="KC298"/>
      <c r="KD298"/>
      <c r="KE298"/>
      <c r="KF298"/>
      <c r="KG298"/>
      <c r="KH298"/>
      <c r="KI298"/>
      <c r="KJ298"/>
      <c r="KK298"/>
      <c r="KL298"/>
      <c r="KM298"/>
      <c r="KN298"/>
      <c r="KO298"/>
      <c r="KP298"/>
      <c r="KQ298"/>
      <c r="KR298"/>
      <c r="KS298"/>
      <c r="KT298"/>
      <c r="KU298"/>
      <c r="KV298"/>
      <c r="KW298"/>
      <c r="KX298"/>
      <c r="KY298"/>
      <c r="KZ298"/>
      <c r="LA298"/>
      <c r="LB298"/>
      <c r="LC298"/>
      <c r="LD298"/>
      <c r="LE298"/>
      <c r="LF298"/>
      <c r="LG298"/>
      <c r="LH298"/>
      <c r="LI298"/>
      <c r="LJ298"/>
      <c r="LK298"/>
      <c r="LL298"/>
      <c r="LM298"/>
      <c r="LN298"/>
      <c r="LO298"/>
      <c r="LP298"/>
      <c r="LQ298"/>
      <c r="LR298"/>
      <c r="LS298"/>
      <c r="LT298"/>
      <c r="LU298"/>
      <c r="LV298"/>
      <c r="LW298"/>
      <c r="LX298"/>
      <c r="LY298"/>
      <c r="LZ298"/>
      <c r="MA298"/>
      <c r="MB298"/>
      <c r="MC298"/>
      <c r="MD298"/>
      <c r="ME298"/>
      <c r="MF298"/>
      <c r="MG298"/>
      <c r="MH298"/>
      <c r="MI298"/>
      <c r="MJ298"/>
      <c r="MK298"/>
      <c r="ML298"/>
      <c r="MM298"/>
      <c r="MN298"/>
      <c r="MO298"/>
      <c r="MP298"/>
      <c r="MQ298"/>
      <c r="MR298"/>
      <c r="MS298"/>
      <c r="MT298"/>
      <c r="MU298"/>
      <c r="MV298"/>
      <c r="MW298"/>
      <c r="MX298"/>
      <c r="MY298"/>
      <c r="MZ298"/>
      <c r="NA298"/>
      <c r="NB298"/>
      <c r="NC298"/>
      <c r="ND298"/>
      <c r="NE298"/>
      <c r="NF298"/>
      <c r="NG298"/>
      <c r="NH298"/>
      <c r="NI298"/>
      <c r="NJ298"/>
      <c r="NK298"/>
      <c r="NL298"/>
      <c r="NM298"/>
      <c r="NN298"/>
      <c r="NO298"/>
      <c r="NP298"/>
      <c r="NQ298"/>
      <c r="NR298"/>
      <c r="NS298"/>
      <c r="NT298"/>
      <c r="NU298"/>
      <c r="NV298"/>
      <c r="NW298"/>
      <c r="NX298"/>
      <c r="NY298"/>
      <c r="NZ298"/>
      <c r="OA298"/>
      <c r="OB298"/>
      <c r="OC298"/>
      <c r="OD298"/>
      <c r="OE298"/>
      <c r="OF298"/>
      <c r="OG298"/>
      <c r="OH298"/>
      <c r="OI298"/>
      <c r="OJ298"/>
      <c r="OK298"/>
      <c r="OL298"/>
      <c r="OM298"/>
      <c r="ON298"/>
      <c r="OO298"/>
      <c r="OP298"/>
      <c r="OQ298"/>
      <c r="OR298"/>
      <c r="OS298"/>
      <c r="OT298"/>
      <c r="OU298"/>
      <c r="OV298"/>
      <c r="OW298"/>
      <c r="OX298"/>
      <c r="OY298"/>
      <c r="OZ298"/>
      <c r="PA298"/>
      <c r="PB298"/>
      <c r="PC298"/>
      <c r="PD298"/>
      <c r="PE298"/>
      <c r="PF298"/>
      <c r="PG298"/>
      <c r="PH298"/>
      <c r="PI298"/>
      <c r="PJ298"/>
      <c r="PK298"/>
      <c r="PL298"/>
      <c r="PM298"/>
      <c r="PN298"/>
      <c r="PO298"/>
      <c r="PP298"/>
      <c r="PQ298"/>
      <c r="PR298"/>
      <c r="PS298"/>
      <c r="PT298"/>
      <c r="PU298"/>
      <c r="PV298"/>
      <c r="PW298"/>
      <c r="PX298"/>
      <c r="PY298"/>
      <c r="PZ298"/>
      <c r="QA298"/>
      <c r="QB298"/>
      <c r="QC298"/>
      <c r="QD298"/>
      <c r="QE298"/>
      <c r="QF298"/>
      <c r="QG298"/>
      <c r="QH298"/>
      <c r="QI298"/>
      <c r="QJ298"/>
      <c r="QK298"/>
      <c r="QL298"/>
      <c r="QM298"/>
      <c r="QN298"/>
      <c r="QO298"/>
      <c r="QP298"/>
      <c r="QQ298"/>
      <c r="QR298"/>
      <c r="QS298"/>
      <c r="QT298"/>
      <c r="QU298"/>
      <c r="QV298"/>
      <c r="QW298"/>
      <c r="QX298"/>
      <c r="QY298"/>
      <c r="QZ298"/>
      <c r="RA298"/>
      <c r="RB298"/>
      <c r="RC298"/>
      <c r="RD298"/>
      <c r="RE298"/>
      <c r="RF298"/>
      <c r="RG298"/>
      <c r="RH298"/>
      <c r="RI298"/>
      <c r="RJ298"/>
      <c r="RK298"/>
      <c r="RL298"/>
      <c r="RM298"/>
      <c r="RN298"/>
      <c r="RO298"/>
      <c r="RP298"/>
      <c r="RQ298"/>
      <c r="RR298"/>
      <c r="RS298"/>
      <c r="RT298"/>
      <c r="RU298"/>
      <c r="RV298"/>
      <c r="RW298"/>
      <c r="RX298"/>
      <c r="RY298"/>
      <c r="RZ298"/>
      <c r="SA298"/>
      <c r="SB298"/>
      <c r="SC298"/>
      <c r="SD298"/>
      <c r="SE298"/>
      <c r="SF298"/>
      <c r="SG298"/>
      <c r="SH298"/>
      <c r="SI298"/>
      <c r="SJ298"/>
      <c r="SK298"/>
      <c r="SL298"/>
      <c r="SM298"/>
      <c r="SN298"/>
      <c r="SO298"/>
      <c r="SP298"/>
      <c r="SQ298"/>
      <c r="SR298"/>
      <c r="SS298"/>
      <c r="ST298"/>
      <c r="SU298"/>
      <c r="SV298"/>
      <c r="SW298"/>
      <c r="SX298"/>
      <c r="SY298"/>
      <c r="SZ298"/>
      <c r="TA298"/>
      <c r="TB298"/>
      <c r="TC298"/>
      <c r="TD298"/>
      <c r="TE298"/>
      <c r="TF298"/>
      <c r="TG298"/>
      <c r="TH298"/>
      <c r="TI298"/>
      <c r="TJ298"/>
      <c r="TK298"/>
      <c r="TL298"/>
      <c r="TM298"/>
      <c r="TN298"/>
      <c r="TO298"/>
      <c r="TP298"/>
      <c r="TQ298"/>
      <c r="TR298"/>
      <c r="TS298"/>
      <c r="TT298"/>
      <c r="TU298"/>
      <c r="TV298"/>
      <c r="TW298"/>
      <c r="TX298"/>
      <c r="TY298"/>
      <c r="TZ298"/>
      <c r="UA298"/>
      <c r="UB298"/>
      <c r="UC298"/>
      <c r="UD298"/>
      <c r="UE298"/>
      <c r="UF298"/>
      <c r="UG298"/>
      <c r="UH298"/>
      <c r="UI298"/>
      <c r="UJ298"/>
      <c r="UK298"/>
      <c r="UL298"/>
      <c r="UM298"/>
      <c r="UN298"/>
      <c r="UO298"/>
      <c r="UP298"/>
      <c r="UQ298"/>
      <c r="UR298"/>
      <c r="US298"/>
      <c r="UT298"/>
      <c r="UU298"/>
      <c r="UV298"/>
      <c r="UW298"/>
      <c r="UX298"/>
      <c r="UY298"/>
      <c r="UZ298"/>
      <c r="VA298"/>
      <c r="VB298"/>
      <c r="VC298"/>
      <c r="VD298"/>
      <c r="VE298"/>
      <c r="VF298"/>
      <c r="VG298"/>
      <c r="VH298"/>
      <c r="VI298"/>
      <c r="VJ298"/>
      <c r="VK298"/>
      <c r="VL298"/>
      <c r="VM298"/>
      <c r="VN298"/>
      <c r="VO298"/>
      <c r="VP298"/>
      <c r="VQ298"/>
      <c r="VR298"/>
      <c r="VS298"/>
      <c r="VT298"/>
      <c r="VU298"/>
      <c r="VV298"/>
      <c r="VW298"/>
      <c r="VX298"/>
      <c r="VY298"/>
      <c r="VZ298"/>
      <c r="WA298"/>
      <c r="WB298"/>
      <c r="WC298"/>
      <c r="WD298"/>
      <c r="WE298"/>
      <c r="WF298"/>
      <c r="WG298"/>
      <c r="WH298"/>
      <c r="WI298"/>
      <c r="WJ298"/>
      <c r="WK298"/>
      <c r="WL298"/>
      <c r="WM298"/>
      <c r="WN298"/>
      <c r="WO298"/>
      <c r="WP298"/>
      <c r="WQ298"/>
      <c r="WR298"/>
      <c r="WS298"/>
      <c r="WT298"/>
      <c r="WU298"/>
      <c r="WV298"/>
      <c r="WW298"/>
      <c r="WX298"/>
      <c r="WY298"/>
      <c r="WZ298"/>
      <c r="XA298"/>
      <c r="XB298"/>
      <c r="XC298"/>
      <c r="XD298"/>
      <c r="XE298"/>
      <c r="XF298"/>
      <c r="XG298"/>
      <c r="XH298"/>
      <c r="XI298"/>
      <c r="XJ298"/>
      <c r="XK298"/>
      <c r="XL298"/>
      <c r="XM298"/>
      <c r="XN298"/>
      <c r="XO298"/>
      <c r="XP298"/>
      <c r="XQ298"/>
      <c r="XR298"/>
      <c r="XS298"/>
      <c r="XT298"/>
      <c r="XU298"/>
      <c r="XV298"/>
      <c r="XW298"/>
      <c r="XX298"/>
      <c r="XY298"/>
      <c r="XZ298"/>
      <c r="YA298"/>
      <c r="YB298"/>
      <c r="YC298"/>
      <c r="YD298"/>
      <c r="YE298"/>
      <c r="YF298"/>
      <c r="YG298"/>
      <c r="YH298"/>
      <c r="YI298"/>
      <c r="YJ298"/>
      <c r="YK298"/>
      <c r="YL298"/>
      <c r="YM298"/>
      <c r="YN298"/>
      <c r="YO298"/>
      <c r="YP298"/>
      <c r="YQ298"/>
      <c r="YR298"/>
      <c r="YS298"/>
      <c r="YT298"/>
      <c r="YU298"/>
      <c r="YV298"/>
      <c r="YW298"/>
      <c r="YX298"/>
      <c r="YY298"/>
      <c r="YZ298"/>
      <c r="ZA298"/>
      <c r="ZB298"/>
      <c r="ZC298"/>
      <c r="ZD298"/>
      <c r="ZE298"/>
      <c r="ZF298"/>
      <c r="ZG298"/>
      <c r="ZH298"/>
      <c r="ZI298"/>
      <c r="ZJ298"/>
      <c r="ZK298"/>
      <c r="ZL298"/>
      <c r="ZM298"/>
      <c r="ZN298"/>
      <c r="ZO298"/>
      <c r="ZP298"/>
      <c r="ZQ298"/>
      <c r="ZR298"/>
      <c r="ZS298"/>
      <c r="ZT298"/>
      <c r="ZU298"/>
      <c r="ZV298"/>
      <c r="ZW298"/>
      <c r="ZX298"/>
      <c r="ZY298"/>
      <c r="ZZ298"/>
      <c r="AAA298"/>
      <c r="AAB298"/>
      <c r="AAC298"/>
      <c r="AAD298"/>
      <c r="AAE298"/>
      <c r="AAF298"/>
      <c r="AAG298"/>
      <c r="AAH298"/>
      <c r="AAI298"/>
      <c r="AAJ298"/>
      <c r="AAK298"/>
      <c r="AAL298"/>
      <c r="AAM298"/>
      <c r="AAN298"/>
      <c r="AAO298"/>
      <c r="AAP298"/>
      <c r="AAQ298"/>
      <c r="AAR298"/>
      <c r="AAS298"/>
      <c r="AAT298"/>
      <c r="AAU298"/>
      <c r="AAV298"/>
      <c r="AAW298"/>
      <c r="AAX298"/>
      <c r="AAY298"/>
      <c r="AAZ298"/>
      <c r="ABA298"/>
      <c r="ABB298"/>
      <c r="ABC298"/>
      <c r="ABD298"/>
      <c r="ABE298"/>
      <c r="ABF298"/>
      <c r="ABG298"/>
      <c r="ABH298"/>
      <c r="ABI298"/>
      <c r="ABJ298"/>
      <c r="ABK298"/>
      <c r="ABL298"/>
      <c r="ABM298"/>
      <c r="ABN298"/>
      <c r="ABO298"/>
      <c r="ABP298"/>
      <c r="ABQ298"/>
      <c r="ABR298"/>
      <c r="ABS298"/>
      <c r="ABT298"/>
      <c r="ABU298"/>
      <c r="ABV298"/>
      <c r="ABW298"/>
      <c r="ABX298"/>
      <c r="ABY298"/>
      <c r="ABZ298"/>
      <c r="ACA298"/>
      <c r="ACB298"/>
      <c r="ACC298"/>
      <c r="ACD298"/>
      <c r="ACE298"/>
      <c r="ACF298"/>
      <c r="ACG298"/>
      <c r="ACH298"/>
      <c r="ACI298"/>
      <c r="ACJ298"/>
      <c r="ACK298"/>
      <c r="ACL298"/>
      <c r="ACM298"/>
      <c r="ACN298"/>
      <c r="ACO298"/>
      <c r="ACP298"/>
      <c r="ACQ298"/>
      <c r="ACR298"/>
      <c r="ACS298"/>
      <c r="ACT298"/>
      <c r="ACU298"/>
      <c r="ACV298"/>
      <c r="ACW298"/>
      <c r="ACX298"/>
      <c r="ACY298"/>
      <c r="ACZ298"/>
      <c r="ADA298"/>
      <c r="ADB298"/>
      <c r="ADC298"/>
      <c r="ADD298"/>
      <c r="ADE298"/>
      <c r="ADF298"/>
      <c r="ADG298"/>
      <c r="ADH298"/>
      <c r="ADI298"/>
      <c r="ADJ298"/>
      <c r="ADK298"/>
      <c r="ADL298"/>
      <c r="ADM298"/>
      <c r="ADN298"/>
      <c r="ADO298"/>
      <c r="ADP298"/>
      <c r="ADQ298"/>
      <c r="ADR298"/>
      <c r="ADS298"/>
      <c r="ADT298"/>
      <c r="ADU298"/>
      <c r="ADV298"/>
      <c r="ADW298"/>
      <c r="ADX298"/>
      <c r="ADY298"/>
      <c r="ADZ298"/>
      <c r="AEA298"/>
      <c r="AEB298"/>
      <c r="AEC298"/>
      <c r="AED298"/>
      <c r="AEE298"/>
      <c r="AEF298"/>
      <c r="AEG298"/>
      <c r="AEH298"/>
      <c r="AEI298"/>
      <c r="AEJ298"/>
      <c r="AEK298"/>
      <c r="AEL298"/>
      <c r="AEM298"/>
      <c r="AEN298"/>
      <c r="AEO298"/>
      <c r="AEP298"/>
      <c r="AEQ298"/>
      <c r="AER298"/>
      <c r="AES298"/>
      <c r="AET298"/>
      <c r="AEU298"/>
      <c r="AEV298"/>
      <c r="AEW298"/>
      <c r="AEX298"/>
      <c r="AEY298"/>
      <c r="AEZ298"/>
      <c r="AFA298"/>
      <c r="AFB298"/>
      <c r="AFC298"/>
      <c r="AFD298"/>
      <c r="AFE298"/>
      <c r="AFF298"/>
      <c r="AFG298"/>
      <c r="AFH298"/>
      <c r="AFI298"/>
      <c r="AFJ298"/>
      <c r="AFK298"/>
      <c r="AFL298"/>
      <c r="AFM298"/>
      <c r="AFN298"/>
      <c r="AFO298"/>
      <c r="AFP298"/>
      <c r="AFQ298"/>
      <c r="AFR298"/>
      <c r="AFS298"/>
      <c r="AFT298"/>
      <c r="AFU298"/>
      <c r="AFV298"/>
      <c r="AFW298"/>
      <c r="AFX298"/>
      <c r="AFY298"/>
      <c r="AFZ298"/>
      <c r="AGA298"/>
      <c r="AGB298"/>
      <c r="AGC298"/>
      <c r="AGD298"/>
      <c r="AGE298"/>
      <c r="AGF298"/>
      <c r="AGG298"/>
      <c r="AGH298"/>
      <c r="AGI298"/>
      <c r="AGJ298"/>
      <c r="AGK298"/>
      <c r="AGL298"/>
      <c r="AGM298"/>
      <c r="AGN298"/>
      <c r="AGO298"/>
      <c r="AGP298"/>
      <c r="AGQ298"/>
      <c r="AGR298"/>
      <c r="AGS298"/>
      <c r="AGT298"/>
      <c r="AGU298"/>
      <c r="AGV298"/>
      <c r="AGW298"/>
      <c r="AGX298"/>
      <c r="AGY298"/>
      <c r="AGZ298"/>
      <c r="AHA298"/>
      <c r="AHB298"/>
      <c r="AHC298"/>
      <c r="AHD298"/>
      <c r="AHE298"/>
      <c r="AHF298"/>
      <c r="AHG298"/>
      <c r="AHH298"/>
      <c r="AHI298"/>
      <c r="AHJ298"/>
      <c r="AHK298"/>
      <c r="AHL298"/>
      <c r="AHM298"/>
      <c r="AHN298"/>
      <c r="AHO298"/>
      <c r="AHP298"/>
      <c r="AHQ298"/>
      <c r="AHR298"/>
      <c r="AHS298"/>
      <c r="AHT298"/>
      <c r="AHU298"/>
      <c r="AHV298"/>
      <c r="AHW298"/>
      <c r="AHX298"/>
      <c r="AHY298"/>
      <c r="AHZ298"/>
      <c r="AIA298"/>
      <c r="AIB298"/>
      <c r="AIC298"/>
      <c r="AID298"/>
      <c r="AIE298"/>
      <c r="AIF298"/>
      <c r="AIG298"/>
      <c r="AIH298"/>
      <c r="AII298"/>
      <c r="AIJ298"/>
      <c r="AIK298"/>
      <c r="AIL298"/>
      <c r="AIM298"/>
      <c r="AIN298"/>
      <c r="AIO298"/>
      <c r="AIP298"/>
      <c r="AIQ298"/>
      <c r="AIR298"/>
      <c r="AIS298"/>
      <c r="AIT298"/>
      <c r="AIU298"/>
      <c r="AIV298"/>
      <c r="AIW298"/>
      <c r="AIX298"/>
      <c r="AIY298"/>
      <c r="AIZ298"/>
      <c r="AJA298"/>
      <c r="AJB298"/>
      <c r="AJC298"/>
      <c r="AJD298"/>
      <c r="AJE298"/>
      <c r="AJF298"/>
      <c r="AJG298"/>
      <c r="AJH298"/>
      <c r="AJI298"/>
      <c r="AJJ298"/>
      <c r="AJK298"/>
      <c r="AJL298"/>
      <c r="AJM298"/>
      <c r="AJN298"/>
      <c r="AJO298"/>
      <c r="AJP298"/>
      <c r="AJQ298"/>
      <c r="AJR298"/>
      <c r="AJS298"/>
      <c r="AJT298"/>
      <c r="AJU298"/>
      <c r="AJV298"/>
      <c r="AJW298"/>
      <c r="AJX298"/>
      <c r="AJY298"/>
      <c r="AJZ298"/>
      <c r="AKA298"/>
      <c r="AKB298"/>
      <c r="AKC298"/>
      <c r="AKD298"/>
      <c r="AKE298"/>
      <c r="AKF298"/>
      <c r="AKG298"/>
      <c r="AKH298"/>
      <c r="AKI298"/>
      <c r="AKJ298"/>
      <c r="AKK298"/>
      <c r="AKL298"/>
      <c r="AKM298"/>
      <c r="AKN298"/>
      <c r="AKO298"/>
      <c r="AKP298"/>
      <c r="AKQ298"/>
      <c r="AKR298"/>
      <c r="AKS298"/>
      <c r="AKT298"/>
      <c r="AKU298"/>
      <c r="AKV298"/>
      <c r="AKW298"/>
      <c r="AKX298"/>
      <c r="AKY298"/>
      <c r="AKZ298"/>
      <c r="ALA298"/>
      <c r="ALB298"/>
      <c r="ALC298"/>
      <c r="ALD298"/>
      <c r="ALE298"/>
      <c r="ALF298"/>
      <c r="ALG298"/>
      <c r="ALH298"/>
      <c r="ALI298"/>
      <c r="ALJ298"/>
      <c r="ALK298"/>
      <c r="ALL298"/>
      <c r="ALM298"/>
      <c r="ALN298"/>
      <c r="ALO298"/>
      <c r="ALP298"/>
      <c r="ALQ298"/>
      <c r="ALR298"/>
      <c r="ALS298"/>
      <c r="ALT298"/>
      <c r="ALU298"/>
      <c r="ALV298"/>
      <c r="ALW298"/>
      <c r="ALX298"/>
      <c r="ALY298"/>
      <c r="ALZ298"/>
      <c r="AMA298"/>
      <c r="AMB298"/>
      <c r="AMC298"/>
      <c r="AMD298"/>
      <c r="AME298"/>
      <c r="AMF298"/>
      <c r="AMG298"/>
      <c r="AMH298"/>
      <c r="AMI298"/>
      <c r="AMJ298"/>
      <c r="AMK298"/>
      <c r="AML298"/>
      <c r="AMM298"/>
      <c r="AMN298"/>
      <c r="AMO298"/>
      <c r="AMP298"/>
      <c r="AMQ298"/>
      <c r="AMR298"/>
      <c r="AMS298"/>
    </row>
    <row r="299" spans="1:1033" ht="12.75" customHeight="1" x14ac:dyDescent="0.2">
      <c r="A299" s="53" t="s">
        <v>489</v>
      </c>
      <c r="B299" s="54">
        <v>2</v>
      </c>
      <c r="C299" s="92">
        <f>AI299*PowerFactor</f>
        <v>124.08469529860162</v>
      </c>
      <c r="D299" s="92">
        <f>AJ299*PowerFactor*IF(crew=1,1.01,1)</f>
        <v>117.6321238067617</v>
      </c>
      <c r="E299" s="92">
        <f>VLOOKUP(A299,[3]TRTOTAL!$A$7:$D$313,3,FALSE)</f>
        <v>124.08469529860162</v>
      </c>
      <c r="F299" s="92">
        <f>VLOOKUP(A299,[3]TRTOTAL!$A$7:$D$313,4,FALSE)</f>
        <v>117.6321238067617</v>
      </c>
      <c r="G299" s="92">
        <f t="shared" si="400"/>
        <v>0</v>
      </c>
      <c r="H299" s="92">
        <f t="shared" si="401"/>
        <v>0</v>
      </c>
      <c r="I299" s="54">
        <v>6.1</v>
      </c>
      <c r="J299" s="56">
        <v>6</v>
      </c>
      <c r="K299" s="54">
        <v>3</v>
      </c>
      <c r="L299" s="57">
        <v>2</v>
      </c>
      <c r="M299" s="57">
        <v>400</v>
      </c>
      <c r="N299" s="57"/>
      <c r="O299" s="87" t="s">
        <v>133</v>
      </c>
      <c r="P299" s="24">
        <f>marea+areaMast+mssam+mareNoDet</f>
        <v>16</v>
      </c>
      <c r="Q299" s="24">
        <f t="shared" si="452"/>
        <v>7.5</v>
      </c>
      <c r="R299" s="24">
        <f>CI299</f>
        <v>6</v>
      </c>
      <c r="S299" s="87">
        <v>7.9</v>
      </c>
      <c r="T299" s="21">
        <f>IF(gs_1,gs_1*0.94,VlgNoDetails)</f>
        <v>5.5</v>
      </c>
      <c r="U299"/>
      <c r="V299" s="24">
        <f t="shared" si="441"/>
        <v>2.25</v>
      </c>
      <c r="W299" s="24">
        <f t="shared" si="442"/>
        <v>2.41</v>
      </c>
      <c r="X299" s="24">
        <f>msam/e^2</f>
        <v>2.7547735059658063</v>
      </c>
      <c r="Y299" s="25">
        <f t="shared" si="403"/>
        <v>1</v>
      </c>
      <c r="Z299" s="24">
        <f t="shared" si="390"/>
        <v>14.528492535938295</v>
      </c>
      <c r="AA299" s="21">
        <f>IF(lpg,msag/lpg^2,0)</f>
        <v>0</v>
      </c>
      <c r="AB299" s="24">
        <f t="shared" si="391"/>
        <v>5.4</v>
      </c>
      <c r="AC299" s="24">
        <f t="shared" si="407"/>
        <v>22.976492535938299</v>
      </c>
      <c r="AD299" s="58">
        <f>IF(wsex,wsex,wsin-6)+crew*(IF(AND(crew=1,msam+msag&gt;=11),75,IF(loa&lt;=4,65,IF(loa&lt;=4.8,70,75))))</f>
        <v>550</v>
      </c>
      <c r="AE299" s="58">
        <f>IF(wsin,wsin,wsex+6)+crew*(IF(AND(crew=1,msam+msag&gt;=11),75,IF(loa&lt;=4,65,IF(loa&lt;=4.8,70,75))))</f>
        <v>556</v>
      </c>
      <c r="AF299" s="21">
        <f>IF(sas,((sas)*0.15),IF(loa&lt;=4.87,IF(crew=1,14*0.15,17*0.15),IF(loa&lt;=5.8,IF(crew=1,17*0.15,21*0.15),IF(loa&lt;=6.71,IF(crew=1,20*0.15,25*0.15),0))))</f>
        <v>3.75</v>
      </c>
      <c r="AG299" s="77">
        <f t="shared" si="393"/>
        <v>0</v>
      </c>
      <c r="AH299" s="114">
        <f t="shared" si="402"/>
        <v>1.04</v>
      </c>
      <c r="AI299" s="59">
        <f t="shared" si="394"/>
        <v>124.08469529860162</v>
      </c>
      <c r="AJ299" s="59">
        <f t="shared" si="395"/>
        <v>117.6321238067617</v>
      </c>
      <c r="AK299" s="55"/>
      <c r="AL299" s="55"/>
      <c r="AM299" s="21">
        <f>AK299*AL299*0.5</f>
        <v>0</v>
      </c>
      <c r="AN299" s="54">
        <v>7.5</v>
      </c>
      <c r="AO299" s="55"/>
      <c r="AP299" s="21">
        <f t="shared" si="453"/>
        <v>0</v>
      </c>
      <c r="AQ299" s="55"/>
      <c r="AR299" s="55"/>
      <c r="AS299" s="21">
        <f t="shared" si="454"/>
        <v>0</v>
      </c>
      <c r="AT299" s="54"/>
      <c r="AU299" s="54"/>
      <c r="AV299" s="21">
        <f t="shared" si="455"/>
        <v>0</v>
      </c>
      <c r="AW299" s="54"/>
      <c r="AX299" s="54"/>
      <c r="AY299" s="21">
        <f t="shared" si="456"/>
        <v>0</v>
      </c>
      <c r="AZ299" s="54"/>
      <c r="BA299" s="54"/>
      <c r="BB299" s="21">
        <f t="shared" si="457"/>
        <v>0</v>
      </c>
      <c r="BC299" s="54"/>
      <c r="BD299" s="54"/>
      <c r="BE299" s="21">
        <f t="shared" si="458"/>
        <v>0</v>
      </c>
      <c r="BF299" s="55"/>
      <c r="BG299" s="55"/>
      <c r="BH299" s="21">
        <f t="shared" si="459"/>
        <v>0</v>
      </c>
      <c r="BI299" s="55"/>
      <c r="BJ299" s="55"/>
      <c r="BK299" s="21">
        <f t="shared" si="460"/>
        <v>0</v>
      </c>
      <c r="BL299" s="55"/>
      <c r="BM299" s="55"/>
      <c r="BN299" s="21">
        <f t="shared" si="461"/>
        <v>0</v>
      </c>
      <c r="BO299" s="55"/>
      <c r="BP299" s="55"/>
      <c r="BQ299" s="21">
        <f t="shared" si="462"/>
        <v>0</v>
      </c>
      <c r="BR299" s="55"/>
      <c r="BS299" s="21">
        <f>AM299+AP299+AS299+AV299+AY299+BB299+BE299+BH299+BK299+BN299+BQ299</f>
        <v>0</v>
      </c>
      <c r="BT299" s="56">
        <v>0</v>
      </c>
      <c r="BU299" s="56"/>
      <c r="BV299" s="21">
        <f t="shared" si="463"/>
        <v>0</v>
      </c>
      <c r="BW299" s="77">
        <f>BT299-CF299</f>
        <v>0</v>
      </c>
      <c r="BX299" s="55"/>
      <c r="BY299" s="21">
        <f t="shared" si="464"/>
        <v>0</v>
      </c>
      <c r="BZ299" s="55"/>
      <c r="CA299" s="55"/>
      <c r="CB299" s="21">
        <f t="shared" si="465"/>
        <v>0</v>
      </c>
      <c r="CC299" s="54"/>
      <c r="CD299" s="54"/>
      <c r="CE299" s="21">
        <f t="shared" si="466"/>
        <v>0</v>
      </c>
      <c r="CF299" s="21"/>
      <c r="CG299" s="21"/>
      <c r="CH299" s="21">
        <f>CF299*CG299*0.5</f>
        <v>0</v>
      </c>
      <c r="CI299" s="25">
        <f>BV299+BY299+CB299+CE299+CH299+DG299</f>
        <v>6</v>
      </c>
      <c r="CJ299" s="54"/>
      <c r="CK299" s="21">
        <f>MastLength*circMast*0.5</f>
        <v>0</v>
      </c>
      <c r="CL299" s="55"/>
      <c r="CM299" s="55"/>
      <c r="CN299" s="60"/>
      <c r="CO299" s="55"/>
      <c r="CP299" s="55"/>
      <c r="CQ299" s="55"/>
      <c r="CR299" s="55"/>
      <c r="CS299" s="55"/>
      <c r="CT299" s="55"/>
      <c r="CU299" s="55"/>
      <c r="CV299" s="55"/>
      <c r="CW299" s="55"/>
      <c r="CX299" s="55"/>
      <c r="CY299" s="21">
        <f t="shared" si="451"/>
        <v>0</v>
      </c>
      <c r="CZ299" s="56"/>
      <c r="DA299" s="56"/>
      <c r="DB299" s="56"/>
      <c r="DC299" s="56"/>
      <c r="DD299" s="61">
        <f>IF(CZ299,DC299/CZ299,smg_sf_no_details)</f>
        <v>0</v>
      </c>
      <c r="DE299" s="21">
        <f>IF(CZ299,CZ299*(DA299+DB299)/4+(DC299-CZ299/2)*(DA299+DB299)/3,sas_no_details)</f>
        <v>0</v>
      </c>
      <c r="DF299" s="55">
        <v>16</v>
      </c>
      <c r="DG299" s="55">
        <v>6</v>
      </c>
      <c r="DH299" s="55">
        <v>5.5</v>
      </c>
      <c r="DI299" s="55"/>
      <c r="DJ299" s="104"/>
      <c r="DK299" s="53"/>
      <c r="DM299" s="58">
        <f t="shared" si="369"/>
        <v>808.21950719999995</v>
      </c>
      <c r="DN299" s="58">
        <f>IF(wsex,0.5*wsex*width+(rwex-wsex)*width+trapeze*(rwex-wsex)/crew,0.5*(wsin-6)*width+(rwin-wsin)*width+trapeze*(rwin-wsin)/crew)</f>
        <v>1200</v>
      </c>
      <c r="DO299" s="21">
        <f>righting/heeling</f>
        <v>1.484745158103504</v>
      </c>
      <c r="DP299" s="62">
        <f>IF((1/DO299)^$DP$5&lt;1,1,(1/DO299)^$DP$5)</f>
        <v>1</v>
      </c>
      <c r="DQ299" s="7">
        <v>0</v>
      </c>
      <c r="DR299" s="107">
        <f t="shared" si="404"/>
        <v>0</v>
      </c>
    </row>
    <row r="300" spans="1:1033" ht="12.75" customHeight="1" x14ac:dyDescent="0.2">
      <c r="A300" s="53"/>
      <c r="B300" s="54"/>
      <c r="C300" s="92"/>
      <c r="D300" s="92"/>
      <c r="E300" s="92"/>
      <c r="F300" s="92"/>
      <c r="G300" s="92"/>
      <c r="H300" s="92"/>
      <c r="I300" s="54"/>
      <c r="J300" s="56"/>
      <c r="K300" s="54"/>
      <c r="L300" s="57"/>
      <c r="M300" s="57"/>
      <c r="N300" s="57"/>
      <c r="O300" s="87"/>
      <c r="P300" s="24"/>
      <c r="Q300" s="24"/>
      <c r="R300" s="24"/>
      <c r="S300" s="87"/>
      <c r="T300" s="21"/>
      <c r="U300" s="21"/>
      <c r="V300" s="24"/>
      <c r="W300" s="24"/>
      <c r="X300" s="24"/>
      <c r="Y300" s="25"/>
      <c r="Z300" s="24"/>
      <c r="AA300" s="21"/>
      <c r="AB300" s="24"/>
      <c r="AC300" s="24"/>
      <c r="AD300" s="58"/>
      <c r="AE300" s="58"/>
      <c r="AF300" s="21"/>
      <c r="AG300" s="77"/>
      <c r="AH300" s="114">
        <f>IF(lb="no",1.04,(IF(lb="",1,(IF(lb="c",0.985,0.96)))))</f>
        <v>1</v>
      </c>
      <c r="AI300" s="59"/>
      <c r="AJ300" s="59"/>
      <c r="AK300" s="55"/>
      <c r="AL300" s="55"/>
      <c r="AM300" s="21"/>
      <c r="AN300" s="54"/>
      <c r="AO300" s="55"/>
      <c r="AP300" s="21"/>
      <c r="AQ300" s="55"/>
      <c r="AR300" s="55"/>
      <c r="AS300" s="21"/>
      <c r="AT300" s="54"/>
      <c r="AU300" s="54"/>
      <c r="AV300" s="21"/>
      <c r="AW300" s="54"/>
      <c r="AX300" s="54"/>
      <c r="AY300" s="21"/>
      <c r="AZ300" s="54"/>
      <c r="BA300" s="54"/>
      <c r="BB300" s="21"/>
      <c r="BC300" s="54"/>
      <c r="BD300" s="54"/>
      <c r="BE300" s="21"/>
      <c r="BF300" s="55"/>
      <c r="BG300" s="55"/>
      <c r="BH300" s="21"/>
      <c r="BI300" s="55"/>
      <c r="BJ300" s="55"/>
      <c r="BK300" s="21"/>
      <c r="BL300" s="55"/>
      <c r="BM300" s="55"/>
      <c r="BN300" s="21"/>
      <c r="BO300" s="55"/>
      <c r="BP300" s="55"/>
      <c r="BQ300" s="21"/>
      <c r="BR300" s="55"/>
      <c r="BS300" s="21"/>
      <c r="BT300" s="56"/>
      <c r="BU300" s="56"/>
      <c r="BV300" s="21"/>
      <c r="BW300" s="77"/>
      <c r="BX300" s="55"/>
      <c r="BY300" s="21"/>
      <c r="BZ300" s="55"/>
      <c r="CA300" s="55"/>
      <c r="CB300" s="21"/>
      <c r="CC300" s="55"/>
      <c r="CD300" s="55"/>
      <c r="CE300" s="21"/>
      <c r="CF300" s="21"/>
      <c r="CG300" s="21"/>
      <c r="CH300" s="21"/>
      <c r="CI300" s="25"/>
      <c r="CJ300" s="54"/>
      <c r="CK300" s="21"/>
      <c r="CL300" s="55"/>
      <c r="CM300" s="55"/>
      <c r="CN300" s="60"/>
      <c r="CO300" s="55"/>
      <c r="CP300" s="55"/>
      <c r="CQ300" s="55"/>
      <c r="CR300" s="55"/>
      <c r="CS300" s="55"/>
      <c r="CT300" s="55"/>
      <c r="CU300" s="55"/>
      <c r="CV300" s="55"/>
      <c r="CW300" s="55"/>
      <c r="CX300" s="55"/>
      <c r="CY300" s="21"/>
      <c r="CZ300" s="56"/>
      <c r="DA300" s="56"/>
      <c r="DB300" s="56"/>
      <c r="DC300" s="56"/>
      <c r="DD300" s="61"/>
      <c r="DE300" s="21"/>
      <c r="DF300" s="55"/>
      <c r="DG300" s="55"/>
      <c r="DH300" s="55"/>
      <c r="DI300" s="55"/>
      <c r="DJ300" s="104"/>
      <c r="DK300" s="53"/>
      <c r="DM300" s="58"/>
      <c r="DN300" s="58"/>
      <c r="DO300" s="21"/>
      <c r="DP300" s="62"/>
      <c r="DQ300" s="7"/>
    </row>
    <row r="301" spans="1:1033" x14ac:dyDescent="0.2">
      <c r="AH301" s="114">
        <f>IF(lb="no",1.04,(IF(lb="",1,(IF(lb="c",0.985,0.96)))))</f>
        <v>1</v>
      </c>
    </row>
    <row r="302" spans="1:1033" x14ac:dyDescent="0.2">
      <c r="AH302" s="114">
        <f>IF(lb="no",1.04,(IF(lb="",1,(IF(lb="c",0.985,0.95)))))</f>
        <v>1</v>
      </c>
    </row>
    <row r="303" spans="1:1033" ht="12.75" customHeight="1" x14ac:dyDescent="0.2">
      <c r="A303" s="53"/>
      <c r="B303" s="54"/>
      <c r="C303" s="92"/>
      <c r="D303" s="92"/>
      <c r="E303" s="92"/>
      <c r="F303" s="92"/>
      <c r="G303" s="92"/>
      <c r="H303" s="92"/>
      <c r="I303" s="54"/>
      <c r="J303" s="56"/>
      <c r="K303" s="54"/>
      <c r="L303" s="57"/>
      <c r="M303" s="57"/>
      <c r="N303" s="57"/>
      <c r="O303" s="87"/>
      <c r="P303" s="24"/>
      <c r="Q303" s="24"/>
      <c r="R303" s="24"/>
      <c r="S303" s="87"/>
      <c r="T303" s="21"/>
      <c r="U303" s="21"/>
      <c r="V303" s="24"/>
      <c r="W303" s="24"/>
      <c r="X303" s="24"/>
      <c r="Y303" s="25"/>
      <c r="Z303" s="24"/>
      <c r="AA303" s="21"/>
      <c r="AB303" s="24"/>
      <c r="AC303" s="24"/>
      <c r="AD303" s="58"/>
      <c r="AE303" s="58"/>
      <c r="AF303" s="21"/>
      <c r="AG303" s="77"/>
      <c r="AH303" s="114"/>
      <c r="AI303" s="59"/>
      <c r="AJ303" s="59"/>
      <c r="AK303" s="55"/>
      <c r="AL303" s="55"/>
      <c r="AM303" s="21"/>
      <c r="AN303" s="54"/>
      <c r="AO303" s="55"/>
      <c r="AP303" s="21"/>
      <c r="AQ303" s="55"/>
      <c r="AR303" s="55"/>
      <c r="AS303" s="21"/>
      <c r="AT303" s="54"/>
      <c r="AU303" s="54"/>
      <c r="AV303" s="21"/>
      <c r="AW303" s="54"/>
      <c r="AX303" s="54"/>
      <c r="AY303" s="21"/>
      <c r="AZ303" s="54"/>
      <c r="BA303" s="54"/>
      <c r="BB303" s="21"/>
      <c r="BC303" s="54"/>
      <c r="BD303" s="54"/>
      <c r="BE303" s="21"/>
      <c r="BF303" s="55"/>
      <c r="BG303" s="55"/>
      <c r="BH303" s="21"/>
      <c r="BI303" s="55"/>
      <c r="BJ303" s="55"/>
      <c r="BK303" s="21"/>
      <c r="BL303" s="55"/>
      <c r="BM303" s="55"/>
      <c r="BN303" s="21"/>
      <c r="BO303" s="55"/>
      <c r="BP303" s="55"/>
      <c r="BQ303" s="21"/>
      <c r="BR303" s="55"/>
      <c r="BS303" s="21"/>
      <c r="BT303" s="56"/>
      <c r="BU303" s="56"/>
      <c r="BV303" s="21"/>
      <c r="BW303" s="77"/>
      <c r="BX303" s="55"/>
      <c r="BY303" s="21"/>
      <c r="BZ303" s="55"/>
      <c r="CA303" s="55"/>
      <c r="CB303" s="21"/>
      <c r="CC303" s="54"/>
      <c r="CD303" s="54"/>
      <c r="CE303" s="21"/>
      <c r="CF303" s="21"/>
      <c r="CG303" s="21"/>
      <c r="CH303" s="21"/>
      <c r="CI303" s="25"/>
      <c r="CJ303" s="54"/>
      <c r="CK303" s="21"/>
      <c r="CL303" s="55"/>
      <c r="CM303" s="55"/>
      <c r="CN303" s="60"/>
      <c r="CO303" s="55"/>
      <c r="CP303" s="55"/>
      <c r="CQ303" s="55"/>
      <c r="CR303" s="55"/>
      <c r="CS303" s="55"/>
      <c r="CT303" s="55"/>
      <c r="CU303" s="55"/>
      <c r="CV303" s="55"/>
      <c r="CW303" s="55"/>
      <c r="CX303" s="55"/>
      <c r="CY303" s="21"/>
      <c r="CZ303" s="56"/>
      <c r="DA303" s="56"/>
      <c r="DB303" s="56"/>
      <c r="DC303" s="56"/>
      <c r="DD303" s="61"/>
      <c r="DE303" s="21"/>
      <c r="DF303" s="55"/>
      <c r="DG303" s="55"/>
      <c r="DH303" s="55"/>
      <c r="DI303" s="55"/>
      <c r="DJ303" s="104"/>
      <c r="DK303" s="53"/>
      <c r="DM303" s="58"/>
      <c r="DN303" s="58"/>
      <c r="DO303" s="21"/>
      <c r="DP303" s="62"/>
      <c r="DQ303" s="7"/>
    </row>
    <row r="304" spans="1:1033" ht="12.75" customHeight="1" x14ac:dyDescent="0.2">
      <c r="A304" s="53"/>
      <c r="B304" s="54"/>
      <c r="C304" s="92"/>
      <c r="D304" s="92"/>
      <c r="E304" s="92"/>
      <c r="F304" s="92"/>
      <c r="G304" s="92"/>
      <c r="H304" s="92"/>
      <c r="I304" s="54"/>
      <c r="J304" s="56"/>
      <c r="K304" s="54"/>
      <c r="L304" s="57"/>
      <c r="M304" s="57"/>
      <c r="N304" s="57"/>
      <c r="O304" s="87"/>
      <c r="P304" s="24"/>
      <c r="Q304" s="24"/>
      <c r="R304" s="24"/>
      <c r="S304" s="87"/>
      <c r="T304" s="21"/>
      <c r="U304" s="21"/>
      <c r="V304" s="24"/>
      <c r="W304" s="24"/>
      <c r="X304" s="24"/>
      <c r="Y304" s="25"/>
      <c r="Z304" s="24"/>
      <c r="AA304" s="21"/>
      <c r="AB304" s="24"/>
      <c r="AC304" s="24"/>
      <c r="AD304" s="58"/>
      <c r="AE304" s="58"/>
      <c r="AF304" s="21"/>
      <c r="AG304" s="77"/>
      <c r="AH304" s="114"/>
      <c r="AI304" s="59"/>
      <c r="AJ304" s="59"/>
      <c r="AK304" s="55"/>
      <c r="AL304" s="55"/>
      <c r="AM304" s="21"/>
      <c r="AN304" s="54"/>
      <c r="AO304" s="55"/>
      <c r="AP304" s="21"/>
      <c r="AQ304" s="55"/>
      <c r="AR304" s="55"/>
      <c r="AS304" s="21"/>
      <c r="AT304" s="54"/>
      <c r="AU304" s="54"/>
      <c r="AV304" s="21"/>
      <c r="AW304" s="54"/>
      <c r="AX304" s="54"/>
      <c r="AY304" s="21"/>
      <c r="AZ304" s="54"/>
      <c r="BA304" s="54"/>
      <c r="BB304" s="21"/>
      <c r="BC304" s="54"/>
      <c r="BD304" s="54"/>
      <c r="BE304" s="21"/>
      <c r="BF304" s="55"/>
      <c r="BG304" s="55"/>
      <c r="BH304" s="21"/>
      <c r="BI304" s="55"/>
      <c r="BJ304" s="55"/>
      <c r="BK304" s="21"/>
      <c r="BL304" s="55"/>
      <c r="BM304" s="55"/>
      <c r="BN304" s="21"/>
      <c r="BO304" s="55"/>
      <c r="BP304" s="55"/>
      <c r="BQ304" s="21"/>
      <c r="BR304" s="55"/>
      <c r="BS304" s="21"/>
      <c r="BT304" s="56"/>
      <c r="BU304" s="56"/>
      <c r="BV304" s="21"/>
      <c r="BW304" s="77"/>
      <c r="BX304" s="55"/>
      <c r="BY304" s="21"/>
      <c r="BZ304" s="56"/>
      <c r="CA304" s="56"/>
      <c r="CB304" s="21"/>
      <c r="CC304" s="56"/>
      <c r="CD304" s="56"/>
      <c r="CE304" s="21"/>
      <c r="CF304" s="21"/>
      <c r="CG304" s="21"/>
      <c r="CH304" s="21"/>
      <c r="CI304" s="25"/>
      <c r="CJ304" s="54"/>
      <c r="CK304" s="21"/>
      <c r="CL304" s="55"/>
      <c r="CM304" s="55"/>
      <c r="CN304" s="60"/>
      <c r="CO304" s="55"/>
      <c r="CP304" s="55"/>
      <c r="CQ304" s="55"/>
      <c r="CR304" s="55"/>
      <c r="CS304" s="55"/>
      <c r="CT304" s="55"/>
      <c r="CU304" s="55"/>
      <c r="CV304" s="55"/>
      <c r="CW304" s="55"/>
      <c r="CX304" s="55"/>
      <c r="CY304" s="21"/>
      <c r="CZ304" s="56"/>
      <c r="DA304" s="56"/>
      <c r="DB304" s="56"/>
      <c r="DC304" s="56"/>
      <c r="DD304" s="61"/>
      <c r="DE304" s="21"/>
      <c r="DF304" s="55"/>
      <c r="DG304" s="55"/>
      <c r="DH304" s="55"/>
      <c r="DI304" s="55"/>
      <c r="DJ304" s="104"/>
      <c r="DK304" s="53"/>
      <c r="DM304" s="58"/>
      <c r="DN304" s="58"/>
      <c r="DO304" s="21"/>
      <c r="DP304" s="62"/>
      <c r="DQ304" s="7"/>
    </row>
    <row r="305" spans="34:34" x14ac:dyDescent="0.2">
      <c r="AH305" s="115"/>
    </row>
    <row r="306" spans="34:34" x14ac:dyDescent="0.2">
      <c r="AH306" s="115"/>
    </row>
    <row r="307" spans="34:34" x14ac:dyDescent="0.2">
      <c r="AH307" s="115"/>
    </row>
    <row r="308" spans="34:34" x14ac:dyDescent="0.2">
      <c r="AH308" s="115"/>
    </row>
    <row r="309" spans="34:34" x14ac:dyDescent="0.2">
      <c r="AH309" s="115"/>
    </row>
    <row r="310" spans="34:34" x14ac:dyDescent="0.2">
      <c r="AH310" s="115"/>
    </row>
    <row r="311" spans="34:34" x14ac:dyDescent="0.2">
      <c r="AH311" s="115"/>
    </row>
  </sheetData>
  <mergeCells count="5">
    <mergeCell ref="AI1:AJ1"/>
    <mergeCell ref="C3:D3"/>
    <mergeCell ref="C4:D4"/>
    <mergeCell ref="E3:F3"/>
    <mergeCell ref="E4:F4"/>
  </mergeCells>
  <phoneticPr fontId="17" type="noConversion"/>
  <printOptions horizontalCentered="1" verticalCentered="1" gridLines="1"/>
  <pageMargins left="0.23622047244094491" right="0.23622047244094491" top="0" bottom="0" header="0" footer="0.31496062992125984"/>
  <pageSetup paperSize="9" scale="61" firstPageNumber="0" fitToHeight="8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56</vt:i4>
      </vt:variant>
    </vt:vector>
  </HeadingPairs>
  <TitlesOfParts>
    <vt:vector size="57" baseType="lpstr">
      <vt:lpstr>TRTOTAL</vt:lpstr>
      <vt:lpstr>__xlnm_Print_Area</vt:lpstr>
      <vt:lpstr>TRTOTAL!_FilterDatabase</vt:lpstr>
      <vt:lpstr>TRTOTAL!Afdrukbereik</vt:lpstr>
      <vt:lpstr>areaMast</vt:lpstr>
      <vt:lpstr>ars</vt:lpstr>
      <vt:lpstr>circMast</vt:lpstr>
      <vt:lpstr>corcb</vt:lpstr>
      <vt:lpstr>crew</vt:lpstr>
      <vt:lpstr>DATA</vt:lpstr>
      <vt:lpstr>Decksweeper</vt:lpstr>
      <vt:lpstr>DynPress</vt:lpstr>
      <vt:lpstr>e</vt:lpstr>
      <vt:lpstr>e_sp</vt:lpstr>
      <vt:lpstr>gs_1</vt:lpstr>
      <vt:lpstr>heeling</vt:lpstr>
      <vt:lpstr>internet</vt:lpstr>
      <vt:lpstr>jibred</vt:lpstr>
      <vt:lpstr>lb</vt:lpstr>
      <vt:lpstr>loa</vt:lpstr>
      <vt:lpstr>lpg</vt:lpstr>
      <vt:lpstr>mainh1</vt:lpstr>
      <vt:lpstr>marea</vt:lpstr>
      <vt:lpstr>mareNoDet</vt:lpstr>
      <vt:lpstr>MastLength</vt:lpstr>
      <vt:lpstr>mfoot</vt:lpstr>
      <vt:lpstr>msag</vt:lpstr>
      <vt:lpstr>msam</vt:lpstr>
      <vt:lpstr>mssam</vt:lpstr>
      <vt:lpstr>PowerFactor</vt:lpstr>
      <vt:lpstr>righting</vt:lpstr>
      <vt:lpstr>rl</vt:lpstr>
      <vt:lpstr>rsa</vt:lpstr>
      <vt:lpstr>rsag</vt:lpstr>
      <vt:lpstr>rsam</vt:lpstr>
      <vt:lpstr>rsas</vt:lpstr>
      <vt:lpstr>rsascr</vt:lpstr>
      <vt:lpstr>rwex</vt:lpstr>
      <vt:lpstr>rwex_</vt:lpstr>
      <vt:lpstr>rwin</vt:lpstr>
      <vt:lpstr>sas</vt:lpstr>
      <vt:lpstr>sas_no_details</vt:lpstr>
      <vt:lpstr>smg_sf_no_details</vt:lpstr>
      <vt:lpstr>stabfac</vt:lpstr>
      <vt:lpstr>test</vt:lpstr>
      <vt:lpstr>trapeze</vt:lpstr>
      <vt:lpstr>vlg</vt:lpstr>
      <vt:lpstr>VlgNoDetails</vt:lpstr>
      <vt:lpstr>vlm</vt:lpstr>
      <vt:lpstr>voorllm2</vt:lpstr>
      <vt:lpstr>voorvlm1</vt:lpstr>
      <vt:lpstr>Vt</vt:lpstr>
      <vt:lpstr>width</vt:lpstr>
      <vt:lpstr>windcoeff</vt:lpstr>
      <vt:lpstr>wsex</vt:lpstr>
      <vt:lpstr>wsin</vt:lpstr>
      <vt:lpstr>xx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 ruesink</dc:creator>
  <cp:lastModifiedBy>g ruesink</cp:lastModifiedBy>
  <cp:revision>1</cp:revision>
  <cp:lastPrinted>2023-02-13T19:06:18Z</cp:lastPrinted>
  <dcterms:created xsi:type="dcterms:W3CDTF">2015-11-22T18:43:45Z</dcterms:created>
  <dcterms:modified xsi:type="dcterms:W3CDTF">2023-07-11T12:19:27Z</dcterms:modified>
  <dc:language>nl-NL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